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980" windowWidth="24480" windowHeight="17160" tabRatio="564" firstSheet="5" activeTab="6"/>
  </bookViews>
  <sheets>
    <sheet name="Solar hot water log" sheetId="1" r:id="rId1"/>
    <sheet name="Solar PV log" sheetId="2" r:id="rId2"/>
    <sheet name="Web log" sheetId="3" r:id="rId3"/>
    <sheet name="Dom Chart" sheetId="4" r:id="rId4"/>
    <sheet name="Dominion bills" sheetId="5" r:id="rId5"/>
    <sheet name="VNG bills" sheetId="6" r:id="rId6"/>
    <sheet name="RECs income" sheetId="7" r:id="rId7"/>
    <sheet name="REC Background" sheetId="8" r:id="rId8"/>
    <sheet name="water bills" sheetId="9" r:id="rId9"/>
    <sheet name="cost summary" sheetId="10" r:id="rId10"/>
    <sheet name="short cost summary" sheetId="11" r:id="rId11"/>
    <sheet name="financing" sheetId="12" r:id="rId12"/>
    <sheet name="Tour list" sheetId="13" r:id="rId13"/>
  </sheets>
  <externalReferences>
    <externalReference r:id="rId16"/>
  </externalReferences>
  <definedNames>
    <definedName name="Efficiency">'[1]REC Background'!$B$12</definedName>
    <definedName name="Price_per_kWh">'[1]REC Background'!$B$14</definedName>
    <definedName name="_xlnm.Print_Area" localSheetId="9">'cost summary'!$A$1:$C$45</definedName>
    <definedName name="_xlnm.Print_Area" localSheetId="10">'short cost summary'!$A$1:$D$107</definedName>
    <definedName name="Solar_hrs">'[1]REC Background'!$B$13</definedName>
  </definedNames>
  <calcPr fullCalcOnLoad="1"/>
</workbook>
</file>

<file path=xl/comments6.xml><?xml version="1.0" encoding="utf-8"?>
<comments xmlns="http://schemas.openxmlformats.org/spreadsheetml/2006/main">
  <authors>
    <author>Ruth Amundsen</author>
  </authors>
  <commentList>
    <comment ref="C16" authorId="0">
      <text>
        <r>
          <rPr>
            <b/>
            <sz val="9"/>
            <rFont val="Verdana"/>
            <family val="0"/>
          </rPr>
          <t>Ruth Amundsen:</t>
        </r>
        <r>
          <rPr>
            <sz val="9"/>
            <rFont val="Verdana"/>
            <family val="0"/>
          </rPr>
          <t xml:space="preserve">
approx
</t>
        </r>
      </text>
    </comment>
  </commentList>
</comments>
</file>

<file path=xl/sharedStrings.xml><?xml version="1.0" encoding="utf-8"?>
<sst xmlns="http://schemas.openxmlformats.org/spreadsheetml/2006/main" count="325" uniqueCount="287">
  <si>
    <t>Co-op</t>
  </si>
  <si>
    <t>Contractor</t>
  </si>
  <si>
    <t>Number of panels</t>
  </si>
  <si>
    <t>depreciation</t>
  </si>
  <si>
    <t>Difference from previous year (negative is higher)</t>
  </si>
  <si>
    <t>Started install</t>
  </si>
  <si>
    <t>Cloudy and rainy</t>
  </si>
  <si>
    <t>10 year upfront payment for hot water system!</t>
  </si>
  <si>
    <t>Items in and around house on solar tour</t>
  </si>
  <si>
    <t>After showers, laundry,and dishes, the tank started the day at 72F, but ended at 110F!</t>
  </si>
  <si>
    <t>Hot water system costs</t>
  </si>
  <si>
    <t>Purchase in 2009</t>
  </si>
  <si>
    <t>Total</t>
  </si>
  <si>
    <t>Tax credits</t>
  </si>
  <si>
    <t>16 PV panels purchased in 2009</t>
  </si>
  <si>
    <t>6 additional panels in 2011</t>
  </si>
  <si>
    <t>Total</t>
  </si>
  <si>
    <t>Tax credits</t>
  </si>
  <si>
    <r>
      <t xml:space="preserve">All these links available at </t>
    </r>
    <r>
      <rPr>
        <u val="single"/>
        <sz val="14"/>
        <color indexed="12"/>
        <rFont val="Verdana"/>
        <family val="0"/>
      </rPr>
      <t>web.me.com/ruthandscott/</t>
    </r>
  </si>
  <si>
    <t>Total annual income</t>
  </si>
  <si>
    <t>6 RECs per year</t>
  </si>
  <si>
    <t>Estimate of total annual income</t>
  </si>
  <si>
    <t>Electricity offset income per year</t>
  </si>
  <si>
    <t>http://solarfinancing.1bog.org/</t>
  </si>
  <si>
    <t>NG offset income per year</t>
  </si>
  <si>
    <t>Federal tax credit</t>
  </si>
  <si>
    <t>Local government solutions</t>
  </si>
  <si>
    <t>Sample solar PV system cost:</t>
  </si>
  <si>
    <t>http://www.epa.gov/greenpower/communities/index.htm</t>
  </si>
  <si>
    <t>If you want to have an SREC market to encourage solar installation, get the Virginia Legislature to create a Renewable Portfolio Standard similar to nieghboring states</t>
  </si>
  <si>
    <t>I.e. we more than paid off our system in 3 years!</t>
  </si>
  <si>
    <t>http://www.nrel.gov/applying_technologies/state_local.html</t>
  </si>
  <si>
    <t>includes distribtion, etc</t>
  </si>
  <si>
    <t>Estimated total cost per kWh from Dominion</t>
  </si>
  <si>
    <t>HRUBS bill amount</t>
  </si>
  <si>
    <t>3rd Q</t>
  </si>
  <si>
    <t>RECs</t>
  </si>
  <si>
    <t>Total</t>
  </si>
  <si>
    <t>annual income</t>
  </si>
  <si>
    <t>years to pay off</t>
  </si>
  <si>
    <t>Our systems:</t>
  </si>
  <si>
    <t>PV Income 2009-2014</t>
  </si>
  <si>
    <t>Electricity savings (23 MWh)</t>
  </si>
  <si>
    <t>Hot water Income 2009-2014</t>
  </si>
  <si>
    <t xml:space="preserve">I.e. we made 50% on our investment in 5 years!  </t>
  </si>
  <si>
    <t>Same as 9% tax-free investment.</t>
  </si>
  <si>
    <t>Equivalent to 9% tax-free investment!!  Plus, if you sell your house, you should make this back dollar for dollar.</t>
  </si>
  <si>
    <t>These spreadsheets and more available at http://www.the-mcelroys.com/, with info on financing and incentives</t>
  </si>
  <si>
    <t>http://www.dsireusa.org/incentives/incentive.cfm?Incentive_Code=US53F&amp;</t>
  </si>
  <si>
    <t>This solar hot water system cost</t>
  </si>
  <si>
    <t>REC income per year</t>
  </si>
  <si>
    <t>For local and state governments</t>
  </si>
  <si>
    <t xml:space="preserve">Incentive for solar manufacturing </t>
  </si>
  <si>
    <t>Savings is due to rainwater cistern installed ~Feb 09</t>
  </si>
  <si>
    <t>For Patrick's project</t>
  </si>
  <si>
    <t>6 RECs per year</t>
  </si>
  <si>
    <t>1 REC = 1 million W-hr, or 1 MWh of renewable energy</t>
  </si>
  <si>
    <t>Solar hot water</t>
  </si>
  <si>
    <t>Accelerated depreciation</t>
  </si>
  <si>
    <t>out of pocket after first year</t>
  </si>
  <si>
    <t>Annual income</t>
  </si>
  <si>
    <t xml:space="preserve">SRECs </t>
  </si>
  <si>
    <t>Elec</t>
  </si>
  <si>
    <t>Solar PV</t>
  </si>
  <si>
    <t>Degree days</t>
  </si>
  <si>
    <t>http://www.dsireusa.org/incentives/incentive.cfm?Incentive_Code=VA14F&amp;re=1&amp;ee=1</t>
  </si>
  <si>
    <t xml:space="preserve">     (We paid off in 2.5 years due to upfront payment for SRECs!)</t>
  </si>
  <si>
    <t>sunny!!!</t>
  </si>
  <si>
    <t>3 months, $250</t>
  </si>
  <si>
    <t>SRECS</t>
  </si>
  <si>
    <t>Total</t>
  </si>
  <si>
    <t>Inverter Efficiency</t>
  </si>
  <si>
    <t>Sample solar hot water system cost</t>
  </si>
  <si>
    <t>remainder</t>
  </si>
  <si>
    <t>Turns DC from panels to AC, feeds it into breaker panel</t>
  </si>
  <si>
    <r>
      <t>Co-operative install at $1.50/W</t>
    </r>
    <r>
      <rPr>
        <sz val="12"/>
        <rFont val="Verdana"/>
        <family val="0"/>
      </rPr>
      <t xml:space="preserve"> (http://suntern.wordpress.com/ see 2-6-12 blog)</t>
    </r>
  </si>
  <si>
    <t>You can do a Solar Partnership agreement with Dominion where they pay you $0.15/kWh, but then you cannot sell the SRECs</t>
  </si>
  <si>
    <t>Very simple, grid-tied, no batteries</t>
  </si>
  <si>
    <t>Payment</t>
  </si>
  <si>
    <t>Difference from previous year(s) ($)</t>
  </si>
  <si>
    <t>Annual bill</t>
  </si>
  <si>
    <t>Years to pay off investment</t>
  </si>
  <si>
    <t>Date</t>
  </si>
  <si>
    <t>Collector temp (rough max) (F)</t>
  </si>
  <si>
    <t>Annual Average</t>
  </si>
  <si>
    <t>(Effective rate)</t>
  </si>
  <si>
    <t>As of July 2011, Maryland and DC are closed to out of state systems, so Virginia households can only sell into Pennsylvania</t>
  </si>
  <si>
    <t>Note: Your numbers if you install today will be different since the local SREC market is depressed</t>
  </si>
  <si>
    <t>PV (Sys 2)</t>
  </si>
  <si>
    <t>hot water (Sys 1)</t>
  </si>
  <si>
    <t>(if no incentives)</t>
  </si>
  <si>
    <t>Total price paid per kWh (including distribution, taxes)</t>
  </si>
  <si>
    <t>Tribal energy generation</t>
  </si>
  <si>
    <t>http://www.dsireusa.org/incentives/index.cfm?re=1&amp;ee=1&amp;spv=0&amp;st=0&amp;srp=1&amp;state=VA</t>
  </si>
  <si>
    <t>Pump in basement gets it to city water pressure for sprinklers</t>
  </si>
  <si>
    <t>http://www.thesolarguide.com/solar-energy-systems/financing-incentives.aspx</t>
  </si>
  <si>
    <t>PV Costs</t>
  </si>
  <si>
    <t>kWh generated</t>
  </si>
  <si>
    <t>post PV</t>
  </si>
  <si>
    <t>Show slide show if time (also can show on-line solar power generation)</t>
  </si>
  <si>
    <t>No roof mods</t>
  </si>
  <si>
    <t>RECs (Renewable Energy Credits) or SRECs (Solar Renewable Energy Credits)</t>
  </si>
  <si>
    <t>Dependong on your contract, any increase in price over $350 per REC (which is very possible) is split 50/50 between you and Sol Services.</t>
  </si>
  <si>
    <t xml:space="preserve">Green power challenge </t>
  </si>
  <si>
    <t>http://www.epa.gov/greenpower/communities/gpcchallenge.htm</t>
  </si>
  <si>
    <t>cloudy</t>
  </si>
  <si>
    <t>Date</t>
  </si>
  <si>
    <t>System for non-profit</t>
  </si>
  <si>
    <t>Added 6 panels for total of 22</t>
  </si>
  <si>
    <t>trimmed tress that were shading it in afternoon</t>
  </si>
  <si>
    <t>Cistern holds 3000 gal, feeds hoses, all lawn sprinklers, dock water, soaker hose on roof, and downstairs toilet</t>
  </si>
  <si>
    <t>Goes live</t>
  </si>
  <si>
    <t>Date</t>
  </si>
  <si>
    <t>Hits</t>
  </si>
  <si>
    <t>Actual one-year on solar hot water</t>
  </si>
  <si>
    <t>RECs</t>
  </si>
  <si>
    <t xml:space="preserve">Renewable energy jobs credit </t>
  </si>
  <si>
    <t>CCF</t>
  </si>
  <si>
    <t>Monthly electric bill (kWh)</t>
  </si>
  <si>
    <t>total</t>
  </si>
  <si>
    <t>Total amount saved</t>
  </si>
  <si>
    <t>http://www.seia.org/cs/stimulus_implementation_updates</t>
  </si>
  <si>
    <t>Pre-heats to 160F in summer, 110-120F in winter</t>
  </si>
  <si>
    <t>5-layer barrier under soil, including thin copper layer to keep roots out of house</t>
  </si>
  <si>
    <t>System for private residence (or commercial)</t>
  </si>
  <si>
    <t>Polyethylene glygol in water lines</t>
  </si>
  <si>
    <t>$ saved by offset</t>
  </si>
  <si>
    <t>Communities that are doing green power</t>
  </si>
  <si>
    <t>Natural gas savings</t>
  </si>
  <si>
    <t>SRECS (includes 10-yr upfront payment)</t>
  </si>
  <si>
    <t>Total</t>
  </si>
  <si>
    <t>I.e. we more than paid off our system in 3 years!</t>
  </si>
  <si>
    <t>Solar payback times</t>
  </si>
  <si>
    <t xml:space="preserve">Loans for efficiency improvements </t>
  </si>
  <si>
    <t>Costs and payback period</t>
  </si>
  <si>
    <t>This solar PV system cost:</t>
  </si>
  <si>
    <t>Two penetrations for hot water, one for PV, show lines</t>
  </si>
  <si>
    <t>Show hot water meter (x0.3 for kWh)</t>
  </si>
  <si>
    <t>Each install done in two days</t>
  </si>
  <si>
    <t>Federal + state tax credit</t>
  </si>
  <si>
    <t>You can sign a contract (up to 5-year) to sell your installation's solar credit at this rate -- while still getting the produced electricity.</t>
  </si>
  <si>
    <t>Estimated annual production for California/Arizona based on 5.5 sun hours per day</t>
  </si>
  <si>
    <t>Federal database of Virginia incentives</t>
  </si>
  <si>
    <t>Solar PV inverter (in garage)</t>
  </si>
  <si>
    <t>Federal tax credit (30%)</t>
  </si>
  <si>
    <t>A $150 price per REC in the spreadsheet is used --when we signed we got roughly $250 per SREC for a long time.  Markets have gone down in 2011.</t>
  </si>
  <si>
    <t>4-5 RECs per year</t>
  </si>
  <si>
    <t>Solar hours per day in Norfolk</t>
  </si>
  <si>
    <t>Years to pay off investment</t>
  </si>
  <si>
    <t>Panels ~50 year life, rated for 150 mph wind, Inverter ~20 yr warranty</t>
  </si>
  <si>
    <t>Our 3kW solar PV system cost in 2009 ($10/W)</t>
  </si>
  <si>
    <t>CCF difference (negative is higher)</t>
  </si>
  <si>
    <t>Can yield 80,000 gallon of rainwter per year with normal rainfall (usually don't get that much since we don't use it all in the winter)</t>
  </si>
  <si>
    <t>They are bought in this area by Sol Services for sale to Maryland and DC (we are within PJM region).  Current price is about $250 to the seller (you), with a small cut also to Sol Systems and Solar Services.  This price can change.</t>
  </si>
  <si>
    <t>Solar PV and hot water from outside</t>
  </si>
  <si>
    <t>Solar PV and hot water in attic</t>
  </si>
  <si>
    <t>Green roof and cistern</t>
  </si>
  <si>
    <t>Optional</t>
  </si>
  <si>
    <t>Our solar hot water system cost in 2009</t>
  </si>
  <si>
    <t>PV solar system for residential (or commercial)</t>
  </si>
  <si>
    <t>Completed install, charged collectors at 1 pm (2 hours of sun)</t>
  </si>
  <si>
    <t>Estimated REC value per 1 MWh</t>
  </si>
  <si>
    <t>still under construction these two months, so more heat used (doors/windows open, etc)</t>
  </si>
  <si>
    <t>2nd QTR 09</t>
  </si>
  <si>
    <t>CCF (gas) offset</t>
  </si>
  <si>
    <t>REC rate</t>
  </si>
  <si>
    <t>(negative is higher)</t>
  </si>
  <si>
    <t>http://www.greensolarfinance.com/</t>
  </si>
  <si>
    <t>Links to financing available for solar improvements, tax incentives for residential and business use</t>
  </si>
  <si>
    <t>Tank temp (F)</t>
  </si>
  <si>
    <t>Federal grant for rural energy</t>
  </si>
  <si>
    <t>SREC income per year (current market is lower)</t>
  </si>
  <si>
    <t>http://www.solarpanelsplus.com/solar-financing/</t>
  </si>
  <si>
    <t>http://www.sunrunhome.com/solar-financing</t>
  </si>
  <si>
    <t>In round numbers:</t>
  </si>
  <si>
    <t>With state tax renewable energy rebates:</t>
  </si>
  <si>
    <t>Estimate of annual offset income</t>
  </si>
  <si>
    <t>hooked up at 4 pm</t>
  </si>
  <si>
    <t>http://www.solarmash.com/financing/</t>
  </si>
  <si>
    <t>http://solarpowerrocks.com/virginia/</t>
  </si>
  <si>
    <t>http://www.thesolar411.com/financing-available/</t>
  </si>
  <si>
    <t>This payment was erroneously based on our solar hot water system being 9kW instead of the 6 that it actually is…so for awhile we will be playing catch-up</t>
  </si>
  <si>
    <t>Local installers that may know about financing:</t>
  </si>
  <si>
    <t>http://www.getsolar.com/profiles/Urban-Grid-Solar-Richmond-VA.php</t>
  </si>
  <si>
    <t>http://sunflower-solar.dreamhosters.com/financial-incentive</t>
  </si>
  <si>
    <t>http://www.cleanenergyauthority.com/solar-incentives-and-rebates/virginia/virginia-pace-financing/</t>
  </si>
  <si>
    <t>Difference from previous year (kWh)</t>
  </si>
  <si>
    <t>http://www.dsireusa.org/incentives/index.cfm?State=US&amp;ee=0&amp;re=1</t>
  </si>
  <si>
    <t>Federal tax credit or grant for commercial, but not available to non-profits</t>
  </si>
  <si>
    <t>Federal Stimulus money</t>
  </si>
  <si>
    <t>Green roof ~$6 per sq ft for mature plants (cheaper for plugs)</t>
  </si>
  <si>
    <t>Lifetime of 50-75 years is main cost savings</t>
  </si>
  <si>
    <t>Often used in Europe</t>
  </si>
  <si>
    <t>http://www.dsireusa.org/incentives/incentive.cfm?Incentive_Code=US33F&amp;re=1&amp;ee=1</t>
  </si>
  <si>
    <t>http://www.dsireusa.org/incentives/incentive.cfm?Incentive_Code=US05F&amp;re=1&amp;ee=1</t>
  </si>
  <si>
    <t>Comments</t>
  </si>
  <si>
    <t>BTUs generated (thousand)</t>
  </si>
  <si>
    <t>Number of days since install</t>
  </si>
  <si>
    <t>Tank was at 140F when we got back after a week away!</t>
  </si>
  <si>
    <t>Estimate of annual REC $ income</t>
  </si>
  <si>
    <t>Virginia Commercial and Non-Profit Incentives</t>
  </si>
  <si>
    <t>Our systems:</t>
  </si>
  <si>
    <t>4900 kWh annually</t>
  </si>
  <si>
    <t>Factor from W in array to kWh per year</t>
  </si>
  <si>
    <t>NG offset income per year</t>
  </si>
  <si>
    <t>Average kWh per month after solar</t>
  </si>
  <si>
    <t>Avg before solar</t>
  </si>
  <si>
    <t>Avg after solar</t>
  </si>
  <si>
    <t>CCF per month</t>
  </si>
  <si>
    <t>Check Web links on 'financing' sheet for financing available, and state/federal incentives</t>
  </si>
  <si>
    <t>Annual average kWh</t>
  </si>
  <si>
    <t>Estimated annual production for Virginia based on 4.6 sun hours per day</t>
  </si>
  <si>
    <t>16 PV panels purchased in 2009</t>
  </si>
  <si>
    <t>http://www.cleanpowerfinance.com/solar/financing/</t>
  </si>
  <si>
    <t>22 PV panels, 215 W each, 4000 W max total, ~25 kWh per day, 5000 kWhr per year</t>
  </si>
  <si>
    <t xml:space="preserve">PV makes ~40% power bill, selling SRECs about 60% </t>
  </si>
  <si>
    <t>Permeable pavers</t>
  </si>
  <si>
    <t>RECs, by the way, are much cheaper than SRECs, because wind power is substantially cheaper than solar right now</t>
  </si>
  <si>
    <t>Centrigal force filter, needs cleaning ~every 6 months</t>
  </si>
  <si>
    <t>No power if grid down</t>
  </si>
  <si>
    <t>Rain garden</t>
  </si>
  <si>
    <t>Native plants</t>
  </si>
  <si>
    <t>Composters</t>
  </si>
  <si>
    <t>These spreadsheets and more available at http://the-mcelroys.com/</t>
  </si>
  <si>
    <t>Years to pay off investment (depends on SREC market)</t>
  </si>
  <si>
    <t>Max Power W (approx)</t>
  </si>
  <si>
    <t>Cumulative energy kWh</t>
  </si>
  <si>
    <t>8' high, 8' dia, can get them buried (slightly more expensive).</t>
  </si>
  <si>
    <t>Average kWh per month before solar</t>
  </si>
  <si>
    <t>Additional improvement besides solar</t>
  </si>
  <si>
    <t>Date</t>
  </si>
  <si>
    <t>VNG bill</t>
  </si>
  <si>
    <t>REC $ generated to date</t>
  </si>
  <si>
    <t>http://www.dsireusa.org/incentives/incentive.cfm?Incentive_Code=VA30F&amp;re=1&amp;ee=1</t>
  </si>
  <si>
    <t>Can be put on roofs up to 45 degree angle</t>
  </si>
  <si>
    <t>http://www.solarcity.com/commercial/</t>
  </si>
  <si>
    <t>Total installed cost roughly $8000</t>
  </si>
  <si>
    <t>Pre-heat for natural gas hot water</t>
  </si>
  <si>
    <t>Years to pay off purchase</t>
  </si>
  <si>
    <t>Difference</t>
  </si>
  <si>
    <t>kWh</t>
  </si>
  <si>
    <t>http://www.dsireusa.org/incentives/incentive.cfm?Incentive_Code=US07F&amp;re=1&amp;ee=1</t>
  </si>
  <si>
    <t>http://www.dsireusa.org/incentives/incentive.cfm?Incentive_Code=VA08F&amp;re=1&amp;ee=1</t>
  </si>
  <si>
    <t xml:space="preserve">http://www.findsolar.com/index.php?page=rightforme&amp;subpage=finance </t>
  </si>
  <si>
    <t>Month</t>
  </si>
  <si>
    <t>Bill amount ($)</t>
  </si>
  <si>
    <t>http://www.solarcity.com/residential/purchase-options.aspx</t>
  </si>
  <si>
    <t>Federal Incentives</t>
  </si>
  <si>
    <t>avg</t>
  </si>
  <si>
    <t>http://www.getsolar.com/blog/commercial-solar-federal-grant-option/</t>
  </si>
  <si>
    <t>12 varieties of sedum, rock garden plant, drought tolerant, self-selected to 6 varieties</t>
  </si>
  <si>
    <t>Hot water system costs</t>
  </si>
  <si>
    <t>Purchase in 2009</t>
  </si>
  <si>
    <t>Natural gas savings</t>
  </si>
  <si>
    <t>Cost per CCF</t>
  </si>
  <si>
    <t>Average</t>
  </si>
  <si>
    <t>Our hot water uses two 50 gal, usually is just one 80, but wouldn't fit up our stairs</t>
  </si>
  <si>
    <t>Can now be installed for $3/W</t>
  </si>
  <si>
    <t>SREC income per year (4-5 SRECs per year: VA 2009 market $250/MWhr, DC $400/MWh, VA now $80/MWhr in PA)</t>
  </si>
  <si>
    <t>Avg doesn't really work any more since we installed more panels in Dec 2011</t>
  </si>
  <si>
    <t>1 month difference (kWh)</t>
  </si>
  <si>
    <t>per day</t>
  </si>
  <si>
    <t>W-h</t>
  </si>
  <si>
    <t>per hour</t>
  </si>
  <si>
    <t>number of lights</t>
  </si>
  <si>
    <t>fall to winter (heating costs)</t>
  </si>
  <si>
    <t>Equivalent to 14% tax-free investment!!</t>
  </si>
  <si>
    <t>Amount made from solar (kWh)</t>
  </si>
  <si>
    <t>Water usage (CCF)</t>
  </si>
  <si>
    <t>Cut A/C bill by ~25% in first month</t>
  </si>
  <si>
    <t>No maintenance (fertilize once a year)</t>
  </si>
  <si>
    <t>http://www.solsystemscompany.com/solar-lease</t>
  </si>
  <si>
    <t>&lt;-- point we got solar</t>
  </si>
  <si>
    <t>REC income per year</t>
  </si>
  <si>
    <t>Electricity offset income per year</t>
  </si>
  <si>
    <t>http://virginia.globalsolarcenter.com/government-incentives/commercial-incentives/</t>
  </si>
  <si>
    <t>6 additional panels in 2011</t>
  </si>
  <si>
    <t>Tax credits</t>
  </si>
  <si>
    <t>SRECS</t>
  </si>
  <si>
    <t>Electricity savings (20 MWh)</t>
  </si>
  <si>
    <t>I.e. we made 50% on our investment in 4 years!</t>
  </si>
  <si>
    <t>PV Costs</t>
  </si>
  <si>
    <t>PV Income 2009-2013</t>
  </si>
  <si>
    <t>3000 W</t>
  </si>
  <si>
    <t xml:space="preserve"> ==&gt;</t>
  </si>
  <si>
    <t>4000 kWh annually</t>
  </si>
  <si>
    <t xml:space="preserve">4000 W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</si>
</sst>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/d/yyyy"/>
    <numFmt numFmtId="168" formatCode="_(\$* #,##0.00_);_(\$* \(#,##0.00\);_(\$* &quot;-&quot;??_);_(@_)"/>
    <numFmt numFmtId="169" formatCode="[$-409]mmm\-yy;@"/>
    <numFmt numFmtId="170" formatCode="&quot;$&quot;#,##0.0_);\(&quot;$&quot;#,##0.0\)"/>
    <numFmt numFmtId="171" formatCode="#,##0.0_);\(#,##0.0\)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&quot;$&quot;#,##0.0_);[Red]\(&quot;$&quot;#,##0.0\)"/>
    <numFmt numFmtId="178" formatCode="_(* #,##0.0_);_(* \(#,##0.0\);_(* &quot;-&quot;?_);_(@_)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sz val="18"/>
      <name val="Arial"/>
      <family val="0"/>
    </font>
    <font>
      <b/>
      <sz val="18"/>
      <color indexed="8"/>
      <name val="Calibri"/>
      <family val="0"/>
    </font>
    <font>
      <sz val="9"/>
      <name val="Verdana"/>
      <family val="0"/>
    </font>
    <font>
      <b/>
      <sz val="9"/>
      <name val="Verdana"/>
      <family val="0"/>
    </font>
    <font>
      <b/>
      <sz val="18"/>
      <name val="Arial"/>
      <family val="0"/>
    </font>
    <font>
      <b/>
      <u val="single"/>
      <sz val="18"/>
      <name val="Verdana"/>
      <family val="0"/>
    </font>
    <font>
      <b/>
      <sz val="16"/>
      <name val="Arial"/>
      <family val="0"/>
    </font>
    <font>
      <sz val="16"/>
      <name val="Arial"/>
      <family val="0"/>
    </font>
    <font>
      <sz val="16"/>
      <name val="Verdana"/>
      <family val="0"/>
    </font>
    <font>
      <sz val="16"/>
      <color indexed="10"/>
      <name val="Arial"/>
      <family val="0"/>
    </font>
    <font>
      <sz val="12"/>
      <name val="Arial"/>
      <family val="0"/>
    </font>
    <font>
      <sz val="14"/>
      <name val="Verdana"/>
      <family val="0"/>
    </font>
    <font>
      <u val="single"/>
      <sz val="14"/>
      <color indexed="12"/>
      <name val="Verdana"/>
      <family val="0"/>
    </font>
    <font>
      <u val="single"/>
      <sz val="12"/>
      <color indexed="12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b/>
      <sz val="14"/>
      <name val="Helv"/>
      <family val="0"/>
    </font>
    <font>
      <sz val="10"/>
      <name val="Times"/>
      <family val="0"/>
    </font>
    <font>
      <i/>
      <sz val="14"/>
      <name val="Arial"/>
      <family val="0"/>
    </font>
    <font>
      <sz val="10"/>
      <color indexed="22"/>
      <name val="Verdana"/>
      <family val="0"/>
    </font>
    <font>
      <sz val="18"/>
      <color indexed="22"/>
      <name val="Arial"/>
      <family val="0"/>
    </font>
    <font>
      <i/>
      <sz val="16"/>
      <name val="Arial"/>
      <family val="0"/>
    </font>
    <font>
      <i/>
      <sz val="18"/>
      <color indexed="8"/>
      <name val="Calibri"/>
      <family val="0"/>
    </font>
    <font>
      <sz val="14"/>
      <name val="Arial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4" fontId="0" fillId="0" borderId="0" xfId="17" applyFont="1" applyAlignment="1">
      <alignment/>
    </xf>
    <xf numFmtId="166" fontId="0" fillId="0" borderId="0" xfId="17" applyNumberFormat="1" applyFon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37" fontId="0" fillId="0" borderId="0" xfId="17" applyNumberFormat="1" applyFont="1" applyAlignment="1">
      <alignment/>
    </xf>
    <xf numFmtId="166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17" applyFont="1" applyAlignment="1">
      <alignment/>
    </xf>
    <xf numFmtId="0" fontId="1" fillId="0" borderId="0" xfId="0" applyFont="1" applyAlignment="1">
      <alignment horizontal="center"/>
    </xf>
    <xf numFmtId="37" fontId="1" fillId="0" borderId="0" xfId="17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44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166" fontId="0" fillId="0" borderId="0" xfId="17" applyNumberFormat="1" applyFont="1" applyAlignment="1">
      <alignment/>
    </xf>
    <xf numFmtId="166" fontId="0" fillId="0" borderId="0" xfId="0" applyNumberFormat="1" applyAlignment="1">
      <alignment/>
    </xf>
    <xf numFmtId="0" fontId="8" fillId="0" borderId="0" xfId="0" applyFont="1" applyAlignment="1">
      <alignment/>
    </xf>
    <xf numFmtId="5" fontId="8" fillId="0" borderId="0" xfId="17" applyNumberFormat="1" applyFont="1" applyAlignment="1">
      <alignment/>
    </xf>
    <xf numFmtId="37" fontId="8" fillId="0" borderId="0" xfId="17" applyNumberFormat="1" applyFont="1" applyAlignment="1">
      <alignment/>
    </xf>
    <xf numFmtId="37" fontId="8" fillId="0" borderId="0" xfId="17" applyNumberFormat="1" applyFont="1" applyAlignment="1">
      <alignment horizontal="right" wrapText="1"/>
    </xf>
    <xf numFmtId="5" fontId="0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37" fontId="8" fillId="0" borderId="0" xfId="17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5" fontId="13" fillId="0" borderId="0" xfId="17" applyNumberFormat="1" applyFont="1" applyAlignment="1">
      <alignment horizontal="center"/>
    </xf>
    <xf numFmtId="0" fontId="14" fillId="0" borderId="0" xfId="0" applyFont="1" applyAlignment="1">
      <alignment/>
    </xf>
    <xf numFmtId="5" fontId="15" fillId="0" borderId="0" xfId="17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5" fontId="17" fillId="0" borderId="0" xfId="17" applyNumberFormat="1" applyFont="1" applyAlignment="1">
      <alignment/>
    </xf>
    <xf numFmtId="0" fontId="15" fillId="0" borderId="0" xfId="0" applyFont="1" applyAlignment="1">
      <alignment horizontal="right"/>
    </xf>
    <xf numFmtId="37" fontId="15" fillId="0" borderId="0" xfId="17" applyNumberFormat="1" applyFont="1" applyAlignment="1">
      <alignment/>
    </xf>
    <xf numFmtId="5" fontId="16" fillId="0" borderId="0" xfId="17" applyNumberFormat="1" applyFont="1" applyAlignment="1">
      <alignment/>
    </xf>
    <xf numFmtId="37" fontId="18" fillId="0" borderId="0" xfId="17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20" applyFont="1" applyAlignment="1" applyProtection="1">
      <alignment horizontal="left" indent="3"/>
      <protection/>
    </xf>
    <xf numFmtId="0" fontId="19" fillId="0" borderId="0" xfId="0" applyFont="1" applyAlignment="1">
      <alignment wrapText="1"/>
    </xf>
    <xf numFmtId="0" fontId="20" fillId="0" borderId="0" xfId="20" applyFont="1" applyAlignment="1" applyProtection="1">
      <alignment/>
      <protection/>
    </xf>
    <xf numFmtId="0" fontId="21" fillId="0" borderId="0" xfId="20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0" xfId="20" applyAlignment="1" applyProtection="1">
      <alignment/>
      <protection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37" fontId="14" fillId="0" borderId="0" xfId="17" applyNumberFormat="1" applyFont="1" applyAlignment="1">
      <alignment/>
    </xf>
    <xf numFmtId="0" fontId="25" fillId="0" borderId="1" xfId="0" applyFont="1" applyBorder="1" applyAlignment="1">
      <alignment wrapText="1"/>
    </xf>
    <xf numFmtId="14" fontId="25" fillId="0" borderId="1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66" fontId="0" fillId="0" borderId="0" xfId="17" applyNumberFormat="1" applyFont="1" applyAlignment="1">
      <alignment/>
    </xf>
    <xf numFmtId="0" fontId="0" fillId="2" borderId="0" xfId="0" applyFill="1" applyAlignment="1">
      <alignment/>
    </xf>
    <xf numFmtId="5" fontId="0" fillId="2" borderId="0" xfId="17" applyNumberFormat="1" applyFont="1" applyFill="1" applyAlignment="1">
      <alignment/>
    </xf>
    <xf numFmtId="0" fontId="8" fillId="0" borderId="2" xfId="0" applyFont="1" applyBorder="1" applyAlignment="1">
      <alignment/>
    </xf>
    <xf numFmtId="166" fontId="8" fillId="0" borderId="2" xfId="17" applyNumberFormat="1" applyFont="1" applyBorder="1" applyAlignment="1">
      <alignment/>
    </xf>
    <xf numFmtId="166" fontId="8" fillId="0" borderId="0" xfId="17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17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5" fontId="28" fillId="0" borderId="0" xfId="17" applyNumberFormat="1" applyFont="1" applyAlignment="1">
      <alignment/>
    </xf>
    <xf numFmtId="5" fontId="2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9" fillId="0" borderId="0" xfId="0" applyFont="1" applyAlignment="1">
      <alignment/>
    </xf>
    <xf numFmtId="166" fontId="15" fillId="0" borderId="0" xfId="17" applyNumberFormat="1" applyFont="1" applyAlignment="1">
      <alignment/>
    </xf>
    <xf numFmtId="0" fontId="15" fillId="0" borderId="2" xfId="0" applyFont="1" applyBorder="1" applyAlignment="1">
      <alignment/>
    </xf>
    <xf numFmtId="166" fontId="15" fillId="0" borderId="2" xfId="17" applyNumberFormat="1" applyFont="1" applyBorder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81925"/>
          <c:w val="0.992"/>
          <c:h val="0.1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'Solar hot water log'!$E$1</c:f>
              <c:strCache>
                <c:ptCount val="1"/>
                <c:pt idx="0">
                  <c:v>kWh generated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'Solar hot water log'!$A$2:$A$29</c:f>
              <c:strCache/>
            </c:strRef>
          </c:xVal>
          <c:yVal>
            <c:numRef>
              <c:f>'Solar hot water log'!$E$2:$E$29</c:f>
              <c:numCache/>
            </c:numRef>
          </c:yVal>
          <c:smooth val="0"/>
        </c:ser>
        <c:axId val="56486832"/>
        <c:axId val="38619441"/>
      </c:scatterChart>
      <c:valAx>
        <c:axId val="564868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9441"/>
        <c:crosses val="autoZero"/>
        <c:crossBetween val="midCat"/>
        <c:dispUnits/>
      </c:valAx>
      <c:valAx>
        <c:axId val="38619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1585"/>
          <c:w val="0.95675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'Dominion bills'!$B$1</c:f>
              <c:strCache>
                <c:ptCount val="1"/>
                <c:pt idx="0">
                  <c:v>Monthly electric bill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'Dominion bills'!$A$2:$A$60</c:f>
              <c:strCache>
                <c:ptCount val="59"/>
                <c:pt idx="0">
                  <c:v>37993</c:v>
                </c:pt>
                <c:pt idx="1">
                  <c:v>38024</c:v>
                </c:pt>
                <c:pt idx="2">
                  <c:v>38053</c:v>
                </c:pt>
                <c:pt idx="3">
                  <c:v>38084</c:v>
                </c:pt>
                <c:pt idx="4">
                  <c:v>38114</c:v>
                </c:pt>
                <c:pt idx="5">
                  <c:v>38145</c:v>
                </c:pt>
                <c:pt idx="6">
                  <c:v>38175</c:v>
                </c:pt>
                <c:pt idx="7">
                  <c:v>38206</c:v>
                </c:pt>
                <c:pt idx="8">
                  <c:v>38237</c:v>
                </c:pt>
                <c:pt idx="9">
                  <c:v>38267</c:v>
                </c:pt>
                <c:pt idx="10">
                  <c:v>38298</c:v>
                </c:pt>
                <c:pt idx="11">
                  <c:v>38328</c:v>
                </c:pt>
                <c:pt idx="12">
                  <c:v>38359</c:v>
                </c:pt>
                <c:pt idx="13">
                  <c:v>38390</c:v>
                </c:pt>
                <c:pt idx="14">
                  <c:v>38418</c:v>
                </c:pt>
                <c:pt idx="15">
                  <c:v>38449</c:v>
                </c:pt>
                <c:pt idx="16">
                  <c:v>38479</c:v>
                </c:pt>
                <c:pt idx="17">
                  <c:v>38510</c:v>
                </c:pt>
                <c:pt idx="18">
                  <c:v>38540</c:v>
                </c:pt>
                <c:pt idx="19">
                  <c:v>38571</c:v>
                </c:pt>
                <c:pt idx="20">
                  <c:v>38602</c:v>
                </c:pt>
                <c:pt idx="21">
                  <c:v>38632</c:v>
                </c:pt>
                <c:pt idx="22">
                  <c:v>38663</c:v>
                </c:pt>
                <c:pt idx="23">
                  <c:v>38693</c:v>
                </c:pt>
                <c:pt idx="24">
                  <c:v>38724</c:v>
                </c:pt>
                <c:pt idx="25">
                  <c:v>38755</c:v>
                </c:pt>
                <c:pt idx="26">
                  <c:v>38783</c:v>
                </c:pt>
                <c:pt idx="27">
                  <c:v>38814</c:v>
                </c:pt>
                <c:pt idx="28">
                  <c:v>38844</c:v>
                </c:pt>
                <c:pt idx="29">
                  <c:v>38875</c:v>
                </c:pt>
                <c:pt idx="30">
                  <c:v>38905</c:v>
                </c:pt>
                <c:pt idx="31">
                  <c:v>38936</c:v>
                </c:pt>
                <c:pt idx="32">
                  <c:v>38967</c:v>
                </c:pt>
                <c:pt idx="33">
                  <c:v>38997</c:v>
                </c:pt>
                <c:pt idx="34">
                  <c:v>39028</c:v>
                </c:pt>
                <c:pt idx="35">
                  <c:v>39058</c:v>
                </c:pt>
                <c:pt idx="36">
                  <c:v>39089</c:v>
                </c:pt>
                <c:pt idx="37">
                  <c:v>39120</c:v>
                </c:pt>
                <c:pt idx="38">
                  <c:v>39148</c:v>
                </c:pt>
                <c:pt idx="39">
                  <c:v>39179</c:v>
                </c:pt>
                <c:pt idx="40">
                  <c:v>39209</c:v>
                </c:pt>
                <c:pt idx="41">
                  <c:v>39212</c:v>
                </c:pt>
                <c:pt idx="42">
                  <c:v>39245</c:v>
                </c:pt>
                <c:pt idx="43">
                  <c:v>39274</c:v>
                </c:pt>
                <c:pt idx="44">
                  <c:v>39304</c:v>
                </c:pt>
                <c:pt idx="45">
                  <c:v>39333</c:v>
                </c:pt>
                <c:pt idx="46">
                  <c:v>39364</c:v>
                </c:pt>
                <c:pt idx="47">
                  <c:v>39394</c:v>
                </c:pt>
                <c:pt idx="48">
                  <c:v>39427</c:v>
                </c:pt>
                <c:pt idx="49">
                  <c:v>39457</c:v>
                </c:pt>
                <c:pt idx="50">
                  <c:v>39490</c:v>
                </c:pt>
                <c:pt idx="51">
                  <c:v>39519</c:v>
                </c:pt>
                <c:pt idx="52">
                  <c:v>39519</c:v>
                </c:pt>
                <c:pt idx="53">
                  <c:v>39548</c:v>
                </c:pt>
                <c:pt idx="54">
                  <c:v>39577</c:v>
                </c:pt>
                <c:pt idx="55">
                  <c:v>39610</c:v>
                </c:pt>
                <c:pt idx="56">
                  <c:v>39640</c:v>
                </c:pt>
                <c:pt idx="57">
                  <c:v>39668</c:v>
                </c:pt>
                <c:pt idx="58">
                  <c:v>39701</c:v>
                </c:pt>
              </c:strCache>
            </c:strRef>
          </c:xVal>
          <c:yVal>
            <c:numRef>
              <c:f>'Dominion bills'!$B$2:$B$60</c:f>
              <c:numCache>
                <c:ptCount val="59"/>
                <c:pt idx="0">
                  <c:v>1349</c:v>
                </c:pt>
                <c:pt idx="1">
                  <c:v>1263</c:v>
                </c:pt>
                <c:pt idx="2">
                  <c:v>997</c:v>
                </c:pt>
                <c:pt idx="3">
                  <c:v>995</c:v>
                </c:pt>
                <c:pt idx="4">
                  <c:v>937</c:v>
                </c:pt>
                <c:pt idx="5">
                  <c:v>1198</c:v>
                </c:pt>
                <c:pt idx="6">
                  <c:v>2048</c:v>
                </c:pt>
                <c:pt idx="7">
                  <c:v>1722</c:v>
                </c:pt>
                <c:pt idx="8">
                  <c:v>1127</c:v>
                </c:pt>
                <c:pt idx="9">
                  <c:v>1570</c:v>
                </c:pt>
                <c:pt idx="10">
                  <c:v>997</c:v>
                </c:pt>
                <c:pt idx="11">
                  <c:v>1363</c:v>
                </c:pt>
                <c:pt idx="12">
                  <c:v>1489</c:v>
                </c:pt>
                <c:pt idx="13">
                  <c:v>1187</c:v>
                </c:pt>
                <c:pt idx="14">
                  <c:v>998</c:v>
                </c:pt>
                <c:pt idx="15">
                  <c:v>611</c:v>
                </c:pt>
                <c:pt idx="16">
                  <c:v>362</c:v>
                </c:pt>
                <c:pt idx="17">
                  <c:v>605</c:v>
                </c:pt>
                <c:pt idx="18">
                  <c:v>1122</c:v>
                </c:pt>
                <c:pt idx="19">
                  <c:v>1117</c:v>
                </c:pt>
                <c:pt idx="20">
                  <c:v>1195</c:v>
                </c:pt>
                <c:pt idx="21">
                  <c:v>730</c:v>
                </c:pt>
                <c:pt idx="22">
                  <c:v>690</c:v>
                </c:pt>
                <c:pt idx="23">
                  <c:v>1242</c:v>
                </c:pt>
                <c:pt idx="24">
                  <c:v>1784</c:v>
                </c:pt>
                <c:pt idx="25">
                  <c:v>1378</c:v>
                </c:pt>
                <c:pt idx="26">
                  <c:v>868</c:v>
                </c:pt>
                <c:pt idx="27">
                  <c:v>837</c:v>
                </c:pt>
                <c:pt idx="28">
                  <c:v>778</c:v>
                </c:pt>
                <c:pt idx="29">
                  <c:v>1186</c:v>
                </c:pt>
                <c:pt idx="30">
                  <c:v>1742</c:v>
                </c:pt>
                <c:pt idx="31">
                  <c:v>1332</c:v>
                </c:pt>
                <c:pt idx="32">
                  <c:v>1483</c:v>
                </c:pt>
                <c:pt idx="33">
                  <c:v>935</c:v>
                </c:pt>
                <c:pt idx="34">
                  <c:v>709</c:v>
                </c:pt>
                <c:pt idx="35">
                  <c:v>988</c:v>
                </c:pt>
                <c:pt idx="36">
                  <c:v>1205</c:v>
                </c:pt>
                <c:pt idx="37">
                  <c:v>1017</c:v>
                </c:pt>
                <c:pt idx="38">
                  <c:v>0</c:v>
                </c:pt>
                <c:pt idx="39">
                  <c:v>730</c:v>
                </c:pt>
                <c:pt idx="40">
                  <c:v>625</c:v>
                </c:pt>
                <c:pt idx="41">
                  <c:v>489</c:v>
                </c:pt>
                <c:pt idx="42">
                  <c:v>1156</c:v>
                </c:pt>
                <c:pt idx="43">
                  <c:v>1228</c:v>
                </c:pt>
                <c:pt idx="44">
                  <c:v>1828</c:v>
                </c:pt>
                <c:pt idx="45">
                  <c:v>1279</c:v>
                </c:pt>
                <c:pt idx="46">
                  <c:v>938</c:v>
                </c:pt>
                <c:pt idx="47">
                  <c:v>719</c:v>
                </c:pt>
                <c:pt idx="48">
                  <c:v>1038</c:v>
                </c:pt>
                <c:pt idx="49">
                  <c:v>1110</c:v>
                </c:pt>
                <c:pt idx="50">
                  <c:v>879</c:v>
                </c:pt>
                <c:pt idx="51">
                  <c:v>0</c:v>
                </c:pt>
                <c:pt idx="52">
                  <c:v>538</c:v>
                </c:pt>
                <c:pt idx="53">
                  <c:v>352</c:v>
                </c:pt>
                <c:pt idx="54">
                  <c:v>396</c:v>
                </c:pt>
                <c:pt idx="55">
                  <c:v>736</c:v>
                </c:pt>
                <c:pt idx="56">
                  <c:v>1252</c:v>
                </c:pt>
                <c:pt idx="57">
                  <c:v>1324</c:v>
                </c:pt>
                <c:pt idx="58">
                  <c:v>1451</c:v>
                </c:pt>
              </c:numCache>
            </c:numRef>
          </c:yVal>
          <c:smooth val="0"/>
        </c:ser>
        <c:axId val="12030650"/>
        <c:axId val="41166987"/>
      </c:scatterChart>
      <c:valAx>
        <c:axId val="12030650"/>
        <c:scaling>
          <c:orientation val="minMax"/>
          <c:min val="3799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6987"/>
        <c:crossesAt val="0"/>
        <c:crossBetween val="midCat"/>
        <c:dispUnits/>
      </c:valAx>
      <c:valAx>
        <c:axId val="41166987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06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45"/>
          <c:w val="0.9725"/>
          <c:h val="0.96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'VNG bills'!$A$2:$A$65</c:f>
              <c:strCache/>
            </c:strRef>
          </c:xVal>
          <c:yVal>
            <c:numRef>
              <c:f>'VNG bills'!$C$2:$C$65</c:f>
              <c:numCache/>
            </c:numRef>
          </c:yVal>
          <c:smooth val="0"/>
        </c:ser>
        <c:axId val="34958564"/>
        <c:axId val="46191621"/>
      </c:scatterChart>
      <c:valAx>
        <c:axId val="3495856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 val="autoZero"/>
        <c:crossBetween val="midCat"/>
        <c:dispUnits/>
      </c:valAx>
      <c:valAx>
        <c:axId val="46191621"/>
        <c:scaling>
          <c:orientation val="minMax"/>
          <c:max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585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5"/>
          <c:w val="0.81625"/>
          <c:h val="0.9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bills'!$B$1</c:f>
              <c:strCache>
                <c:ptCount val="1"/>
                <c:pt idx="0">
                  <c:v>HRUBS bill amount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'water bills'!$A$2:$A$21</c:f>
              <c:strCache/>
            </c:strRef>
          </c:xVal>
          <c:yVal>
            <c:numRef>
              <c:f>'water bills'!$B$2:$B$21</c:f>
              <c:numCache/>
            </c:numRef>
          </c:yVal>
          <c:smooth val="0"/>
        </c:ser>
        <c:axId val="13071406"/>
        <c:axId val="50533791"/>
      </c:scatterChart>
      <c:scatterChart>
        <c:scatterStyle val="lineMarker"/>
        <c:varyColors val="0"/>
        <c:ser>
          <c:idx val="1"/>
          <c:order val="1"/>
          <c:tx>
            <c:strRef>
              <c:f>'water bills'!$C$1</c:f>
              <c:strCache>
                <c:ptCount val="1"/>
                <c:pt idx="0">
                  <c:v>Water usage (CCF)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'water bills'!$A$2:$A$21</c:f>
              <c:strCache/>
            </c:strRef>
          </c:xVal>
          <c:yVal>
            <c:numRef>
              <c:f>'water bills'!$C$2:$C$21</c:f>
              <c:numCache/>
            </c:numRef>
          </c:yVal>
          <c:smooth val="0"/>
        </c:ser>
        <c:axId val="52150936"/>
        <c:axId val="66705241"/>
      </c:scatterChart>
      <c:val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 val="autoZero"/>
        <c:crossBetween val="midCat"/>
        <c:dispUnits/>
      </c:valAx>
      <c:valAx>
        <c:axId val="50533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 val="autoZero"/>
        <c:crossBetween val="midCat"/>
        <c:dispUnits/>
      </c:valAx>
      <c:valAx>
        <c:axId val="52150936"/>
        <c:scaling>
          <c:orientation val="minMax"/>
        </c:scaling>
        <c:axPos val="b"/>
        <c:delete val="1"/>
        <c:majorTickMark val="out"/>
        <c:minorTickMark val="none"/>
        <c:tickLblPos val="nextTo"/>
        <c:crossAx val="66705241"/>
        <c:crosses val="max"/>
        <c:crossBetween val="midCat"/>
        <c:dispUnits/>
      </c:valAx>
      <c:valAx>
        <c:axId val="6670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09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46525"/>
          <c:w val="0.152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27</xdr:row>
      <xdr:rowOff>95250</xdr:rowOff>
    </xdr:from>
    <xdr:to>
      <xdr:col>13</xdr:col>
      <xdr:colOff>895350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7600950" y="5448300"/>
        <a:ext cx="39624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9</xdr:row>
      <xdr:rowOff>66675</xdr:rowOff>
    </xdr:from>
    <xdr:to>
      <xdr:col>15</xdr:col>
      <xdr:colOff>152400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00" y="2333625"/>
        <a:ext cx="61436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5</xdr:row>
      <xdr:rowOff>133350</xdr:rowOff>
    </xdr:from>
    <xdr:to>
      <xdr:col>16</xdr:col>
      <xdr:colOff>276225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210300" y="942975"/>
        <a:ext cx="78676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52</xdr:row>
      <xdr:rowOff>209550</xdr:rowOff>
    </xdr:from>
    <xdr:to>
      <xdr:col>3</xdr:col>
      <xdr:colOff>1876425</xdr:colOff>
      <xdr:row>71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0" y="15459075"/>
          <a:ext cx="3038475" cy="461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Your numbers if you install today will be different since the cost for solar has fallen by a factor of 4, but also the local SREC market is depressed.
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to have an SREC market to encourage solar installation,  get the Virginia Legislature to create a Renewable Portfolio Standard similar to neighboring states.
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285750</xdr:colOff>
      <xdr:row>84</xdr:row>
      <xdr:rowOff>114300</xdr:rowOff>
    </xdr:from>
    <xdr:to>
      <xdr:col>3</xdr:col>
      <xdr:colOff>1847850</xdr:colOff>
      <xdr:row>104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24450" y="23431500"/>
          <a:ext cx="30289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Your numbers if you install today will be different since the cost for solar has fallen by a factor of 5, but also the local SREC market is depressed.
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to have an SREC market to encourage solar installation,  get the Virginia Legislature to create a Renewable Portfolio Standard similar to neighboring states.
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ar%20house%20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 Cost for non-profit"/>
      <sheetName val="PV Cost vs. benefits"/>
      <sheetName val="average power use"/>
      <sheetName val="REC Background"/>
      <sheetName val="investment"/>
      <sheetName val="cost summary"/>
    </sheetNames>
    <sheetDataSet>
      <sheetData sheetId="3">
        <row r="12">
          <cell r="B12">
            <v>0.96</v>
          </cell>
        </row>
        <row r="13">
          <cell r="B13">
            <v>4.6</v>
          </cell>
        </row>
        <row r="14">
          <cell r="B14">
            <v>0.09347762289068233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solarfinance.com/" TargetMode="External" /><Relationship Id="rId2" Type="http://schemas.openxmlformats.org/officeDocument/2006/relationships/hyperlink" Target="http://www.findsolar.com/index.php?page=rightforme&amp;subpage=finance" TargetMode="External" /><Relationship Id="rId3" Type="http://schemas.openxmlformats.org/officeDocument/2006/relationships/hyperlink" Target="http://www.solarcity.com/residential/purchase-options.aspx" TargetMode="External" /><Relationship Id="rId4" Type="http://schemas.openxmlformats.org/officeDocument/2006/relationships/hyperlink" Target="http://www.cleanpowerfinance.com/solar/financing/" TargetMode="External" /><Relationship Id="rId5" Type="http://schemas.openxmlformats.org/officeDocument/2006/relationships/hyperlink" Target="http://www.thesolarguide.com/solar-energy-systems/financing-incentives.aspx" TargetMode="External" /><Relationship Id="rId6" Type="http://schemas.openxmlformats.org/officeDocument/2006/relationships/hyperlink" Target="http://www.dsireusa.org/incentives/index.cfm?re=1&amp;ee=1&amp;spv=0&amp;st=0&amp;srp=1&amp;state=VA" TargetMode="External" /><Relationship Id="rId7" Type="http://schemas.openxmlformats.org/officeDocument/2006/relationships/hyperlink" Target="http://www.dsireusa.org/incentives/index.cfm?State=US&amp;ee=0&amp;re=1" TargetMode="External" /><Relationship Id="rId8" Type="http://schemas.openxmlformats.org/officeDocument/2006/relationships/hyperlink" Target="http://www.seia.org/cs/stimulus_implementation_updates" TargetMode="External" /><Relationship Id="rId9" Type="http://schemas.openxmlformats.org/officeDocument/2006/relationships/hyperlink" Target="http://virginia.globalsolarcenter.com/government-incentives/commercial-incentives/" TargetMode="External" /><Relationship Id="rId10" Type="http://schemas.openxmlformats.org/officeDocument/2006/relationships/hyperlink" Target="http://www.dsireusa.org/incentives/incentive.cfm?Incentive_Code=US53F&amp;" TargetMode="External" /><Relationship Id="rId11" Type="http://schemas.openxmlformats.org/officeDocument/2006/relationships/hyperlink" Target="http://www.getsolar.com/blog/commercial-solar-federal-grant-option/" TargetMode="External" /><Relationship Id="rId12" Type="http://schemas.openxmlformats.org/officeDocument/2006/relationships/hyperlink" Target="http://www.nrel.gov/applying_technologies/state_local.html" TargetMode="External" /><Relationship Id="rId13" Type="http://schemas.openxmlformats.org/officeDocument/2006/relationships/hyperlink" Target="http://www.dsireusa.org/incentives/incentive.cfm?Incentive_Code=VA08F&amp;re=1&amp;ee=1" TargetMode="External" /><Relationship Id="rId14" Type="http://schemas.openxmlformats.org/officeDocument/2006/relationships/hyperlink" Target="http://www.dsireusa.org/incentives/incentive.cfm?Incentive_Code=VA30F&amp;re=1&amp;ee=1" TargetMode="External" /><Relationship Id="rId15" Type="http://schemas.openxmlformats.org/officeDocument/2006/relationships/hyperlink" Target="http://www.dsireusa.org/incentives/incentive.cfm?Incentive_Code=VA14F&amp;re=1&amp;ee=1" TargetMode="External" /><Relationship Id="rId16" Type="http://schemas.openxmlformats.org/officeDocument/2006/relationships/hyperlink" Target="http://www.epa.gov/greenpower/communities/gpcchallenge.htm" TargetMode="External" /><Relationship Id="rId17" Type="http://schemas.openxmlformats.org/officeDocument/2006/relationships/hyperlink" Target="http://www.epa.gov/greenpower/communities/index.htm" TargetMode="External" /><Relationship Id="rId18" Type="http://schemas.openxmlformats.org/officeDocument/2006/relationships/hyperlink" Target="http://www.dsireusa.org/incentives/incentive.cfm?Incentive_Code=US05F&amp;re=1&amp;ee=1" TargetMode="External" /><Relationship Id="rId19" Type="http://schemas.openxmlformats.org/officeDocument/2006/relationships/hyperlink" Target="http://www.dsireusa.org/incentives/incentive.cfm?Incentive_Code=US33F&amp;re=1&amp;ee=1" TargetMode="External" /><Relationship Id="rId20" Type="http://schemas.openxmlformats.org/officeDocument/2006/relationships/hyperlink" Target="http://www.dsireusa.org/incentives/incentive.cfm?Incentive_Code=US07F&amp;re=1&amp;ee=1" TargetMode="External" /><Relationship Id="rId21" Type="http://schemas.openxmlformats.org/officeDocument/2006/relationships/hyperlink" Target="http://www.solarcity.com/commercial/" TargetMode="External" /><Relationship Id="rId22" Type="http://schemas.openxmlformats.org/officeDocument/2006/relationships/hyperlink" Target="http://www.solarpanelsplus.com/solar-financing/" TargetMode="External" /><Relationship Id="rId23" Type="http://schemas.openxmlformats.org/officeDocument/2006/relationships/hyperlink" Target="http://www.getsolar.com/profiles/Urban-Grid-Solar-Richmond-VA.php" TargetMode="External" /><Relationship Id="rId24" Type="http://schemas.openxmlformats.org/officeDocument/2006/relationships/hyperlink" Target="http://sunflower-solar.dreamhosters.com/financial-incentiv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Zeros="0" zoomScale="150" zoomScaleNormal="150" workbookViewId="0" topLeftCell="A1">
      <selection activeCell="E26" sqref="E26"/>
    </sheetView>
  </sheetViews>
  <sheetFormatPr defaultColWidth="11.00390625" defaultRowHeight="12.75"/>
  <cols>
    <col min="2" max="2" width="12.625" style="0" customWidth="1"/>
    <col min="7" max="7" width="7.625" style="0" customWidth="1"/>
    <col min="9" max="9" width="10.00390625" style="0" customWidth="1"/>
    <col min="13" max="13" width="10.75390625" style="19" customWidth="1"/>
    <col min="14" max="14" width="35.75390625" style="4" customWidth="1"/>
  </cols>
  <sheetData>
    <row r="1" spans="1:14" s="1" customFormat="1" ht="51.75">
      <c r="A1" s="1" t="s">
        <v>82</v>
      </c>
      <c r="B1" s="1" t="s">
        <v>83</v>
      </c>
      <c r="C1" s="1" t="s">
        <v>169</v>
      </c>
      <c r="D1" s="1" t="s">
        <v>196</v>
      </c>
      <c r="E1" s="1" t="s">
        <v>97</v>
      </c>
      <c r="F1" s="1" t="s">
        <v>164</v>
      </c>
      <c r="G1" s="1" t="s">
        <v>126</v>
      </c>
      <c r="H1" s="1" t="s">
        <v>197</v>
      </c>
      <c r="I1" s="1" t="s">
        <v>232</v>
      </c>
      <c r="J1" s="1" t="s">
        <v>199</v>
      </c>
      <c r="K1" s="1" t="s">
        <v>176</v>
      </c>
      <c r="L1" s="1" t="s">
        <v>21</v>
      </c>
      <c r="M1" s="1" t="s">
        <v>238</v>
      </c>
      <c r="N1" s="1" t="s">
        <v>195</v>
      </c>
    </row>
    <row r="2" spans="11:15" s="1" customFormat="1" ht="12.75">
      <c r="K2"/>
      <c r="L2"/>
      <c r="M2" s="19"/>
      <c r="N2" s="5" t="s">
        <v>161</v>
      </c>
      <c r="O2" s="32">
        <v>290</v>
      </c>
    </row>
    <row r="3" spans="1:14" ht="12.75">
      <c r="A3" s="67">
        <v>38401</v>
      </c>
      <c r="C3">
        <v>48</v>
      </c>
      <c r="N3" s="4" t="s">
        <v>5</v>
      </c>
    </row>
    <row r="4" spans="1:14" ht="25.5">
      <c r="A4" s="67">
        <v>38402</v>
      </c>
      <c r="B4">
        <v>156</v>
      </c>
      <c r="C4">
        <v>67</v>
      </c>
      <c r="D4">
        <v>18</v>
      </c>
      <c r="E4" s="2">
        <f>D4*0.29307107</f>
        <v>5.27527926</v>
      </c>
      <c r="F4" s="2">
        <f>D4*1000/102000</f>
        <v>0.17647058823529413</v>
      </c>
      <c r="G4" s="6">
        <f>F4*1.4</f>
        <v>0.24705882352941178</v>
      </c>
      <c r="H4" s="2"/>
      <c r="I4" s="2"/>
      <c r="J4" s="2"/>
      <c r="K4" s="2"/>
      <c r="L4" s="2"/>
      <c r="M4" s="23"/>
      <c r="N4" s="4" t="s">
        <v>160</v>
      </c>
    </row>
    <row r="5" spans="1:13" ht="12.75">
      <c r="A5" s="67">
        <v>38403</v>
      </c>
      <c r="B5">
        <v>165</v>
      </c>
      <c r="C5">
        <v>105</v>
      </c>
      <c r="D5">
        <v>64</v>
      </c>
      <c r="E5" s="2">
        <f>D5*0.29307107</f>
        <v>18.75654848</v>
      </c>
      <c r="F5" s="2">
        <f aca="true" t="shared" si="0" ref="F5:F26">D5*1000/102000</f>
        <v>0.6274509803921569</v>
      </c>
      <c r="G5" s="6">
        <f aca="true" t="shared" si="1" ref="G5:G26">F5*1.4</f>
        <v>0.8784313725490195</v>
      </c>
      <c r="H5" s="3">
        <f aca="true" t="shared" si="2" ref="H5:H26">A5-$A$4</f>
        <v>1</v>
      </c>
      <c r="I5" s="32">
        <f aca="true" t="shared" si="3" ref="I5:I26">E5/1000*$O$2</f>
        <v>5.439399059199999</v>
      </c>
      <c r="J5" s="32">
        <f>E5/H5*365/1000*$O$2</f>
        <v>1985.3806566079998</v>
      </c>
      <c r="K5" s="32">
        <f>G5/H5*365</f>
        <v>320.6274509803921</v>
      </c>
      <c r="L5" s="32">
        <f>J5+K5</f>
        <v>2306.008107588392</v>
      </c>
      <c r="M5" s="24"/>
    </row>
    <row r="6" spans="1:14" ht="12.75">
      <c r="A6" s="67">
        <v>38404</v>
      </c>
      <c r="B6">
        <v>90</v>
      </c>
      <c r="C6">
        <v>96</v>
      </c>
      <c r="E6" s="2"/>
      <c r="F6" s="2">
        <f t="shared" si="0"/>
        <v>0</v>
      </c>
      <c r="G6" s="6">
        <f t="shared" si="1"/>
        <v>0</v>
      </c>
      <c r="H6" s="3">
        <f t="shared" si="2"/>
        <v>2</v>
      </c>
      <c r="I6" s="32"/>
      <c r="J6" s="32"/>
      <c r="K6" s="32"/>
      <c r="L6" s="32"/>
      <c r="M6" s="24"/>
      <c r="N6" s="4" t="s">
        <v>6</v>
      </c>
    </row>
    <row r="7" spans="1:13" ht="12.75">
      <c r="A7" s="67">
        <v>38405</v>
      </c>
      <c r="B7">
        <v>161</v>
      </c>
      <c r="C7">
        <v>103</v>
      </c>
      <c r="D7">
        <v>111</v>
      </c>
      <c r="E7" s="2">
        <f aca="true" t="shared" si="4" ref="E7:E26">D7*0.29307107</f>
        <v>32.53088877</v>
      </c>
      <c r="F7" s="2">
        <f t="shared" si="0"/>
        <v>1.088235294117647</v>
      </c>
      <c r="G7" s="6">
        <f t="shared" si="1"/>
        <v>1.5235294117647056</v>
      </c>
      <c r="H7" s="3">
        <f t="shared" si="2"/>
        <v>3</v>
      </c>
      <c r="I7" s="32">
        <f t="shared" si="3"/>
        <v>9.433957743299999</v>
      </c>
      <c r="J7" s="32">
        <f>E7/H7*365/1000*$O$2</f>
        <v>1147.7981921015</v>
      </c>
      <c r="K7" s="32">
        <f aca="true" t="shared" si="5" ref="K7:K26">G7/H7*365</f>
        <v>185.36274509803917</v>
      </c>
      <c r="L7" s="32">
        <f aca="true" t="shared" si="6" ref="L7:L26">J7+K7</f>
        <v>1333.1609371995391</v>
      </c>
      <c r="M7" s="24">
        <f>9000*0.7/L7</f>
        <v>4.72561100780067</v>
      </c>
    </row>
    <row r="8" spans="1:13" ht="12.75">
      <c r="A8" s="67">
        <v>38406</v>
      </c>
      <c r="C8">
        <v>106</v>
      </c>
      <c r="D8">
        <v>159</v>
      </c>
      <c r="E8" s="2">
        <f t="shared" si="4"/>
        <v>46.59830013</v>
      </c>
      <c r="F8" s="2">
        <f t="shared" si="0"/>
        <v>1.5588235294117647</v>
      </c>
      <c r="G8" s="6">
        <f t="shared" si="1"/>
        <v>2.1823529411764704</v>
      </c>
      <c r="H8" s="3">
        <f t="shared" si="2"/>
        <v>4</v>
      </c>
      <c r="I8" s="32">
        <f t="shared" si="3"/>
        <v>13.5135070377</v>
      </c>
      <c r="J8" s="32">
        <f>(E8/H8)*365/1000*$O$2</f>
        <v>1233.107517190125</v>
      </c>
      <c r="K8" s="32">
        <f t="shared" si="5"/>
        <v>199.13970588235293</v>
      </c>
      <c r="L8" s="32">
        <f t="shared" si="6"/>
        <v>1432.247223072478</v>
      </c>
      <c r="M8" s="24">
        <f aca="true" t="shared" si="7" ref="M8:M26">9000*0.7/L8</f>
        <v>4.398681944367919</v>
      </c>
    </row>
    <row r="9" spans="1:13" ht="12.75">
      <c r="A9" s="67">
        <v>38407</v>
      </c>
      <c r="C9">
        <v>109</v>
      </c>
      <c r="D9">
        <v>205</v>
      </c>
      <c r="E9" s="2">
        <f t="shared" si="4"/>
        <v>60.07956935</v>
      </c>
      <c r="F9" s="2">
        <f t="shared" si="0"/>
        <v>2.0098039215686274</v>
      </c>
      <c r="G9" s="6">
        <f t="shared" si="1"/>
        <v>2.813725490196078</v>
      </c>
      <c r="H9" s="3">
        <f t="shared" si="2"/>
        <v>5</v>
      </c>
      <c r="I9" s="32">
        <f t="shared" si="3"/>
        <v>17.4230751115</v>
      </c>
      <c r="J9" s="32">
        <f aca="true" t="shared" si="8" ref="J9:J26">E9/H9*365/1000*$O$2</f>
        <v>1271.8844831395</v>
      </c>
      <c r="K9" s="32">
        <f t="shared" si="5"/>
        <v>205.40196078431373</v>
      </c>
      <c r="L9" s="32">
        <f t="shared" si="6"/>
        <v>1477.2864439238137</v>
      </c>
      <c r="M9" s="24">
        <f t="shared" si="7"/>
        <v>4.264575787527433</v>
      </c>
    </row>
    <row r="10" spans="1:14" ht="25.5">
      <c r="A10" s="67">
        <v>38408</v>
      </c>
      <c r="B10">
        <v>165</v>
      </c>
      <c r="C10">
        <v>110</v>
      </c>
      <c r="D10">
        <v>248</v>
      </c>
      <c r="E10" s="2">
        <f t="shared" si="4"/>
        <v>72.68162536</v>
      </c>
      <c r="F10" s="2">
        <f t="shared" si="0"/>
        <v>2.4313725490196076</v>
      </c>
      <c r="G10" s="2">
        <f t="shared" si="1"/>
        <v>3.4039215686274504</v>
      </c>
      <c r="H10" s="3">
        <f t="shared" si="2"/>
        <v>6</v>
      </c>
      <c r="I10" s="32">
        <f t="shared" si="3"/>
        <v>21.0776713544</v>
      </c>
      <c r="J10" s="32">
        <f t="shared" si="8"/>
        <v>1282.2250073926664</v>
      </c>
      <c r="K10" s="32">
        <f t="shared" si="5"/>
        <v>207.07189542483655</v>
      </c>
      <c r="L10" s="32">
        <f t="shared" si="6"/>
        <v>1489.296902817503</v>
      </c>
      <c r="M10" s="24">
        <f t="shared" si="7"/>
        <v>4.230184047305439</v>
      </c>
      <c r="N10" s="4" t="s">
        <v>9</v>
      </c>
    </row>
    <row r="11" spans="1:13" ht="12.75">
      <c r="A11" s="67">
        <v>38409</v>
      </c>
      <c r="B11">
        <v>165</v>
      </c>
      <c r="C11">
        <v>110</v>
      </c>
      <c r="D11">
        <v>298</v>
      </c>
      <c r="E11" s="2">
        <f t="shared" si="4"/>
        <v>87.33517886</v>
      </c>
      <c r="F11" s="2">
        <f t="shared" si="0"/>
        <v>2.9215686274509802</v>
      </c>
      <c r="G11" s="2">
        <f t="shared" si="1"/>
        <v>4.090196078431372</v>
      </c>
      <c r="H11" s="3">
        <f t="shared" si="2"/>
        <v>7</v>
      </c>
      <c r="I11" s="32">
        <f t="shared" si="3"/>
        <v>25.3272018694</v>
      </c>
      <c r="J11" s="32">
        <f t="shared" si="8"/>
        <v>1320.6326689044286</v>
      </c>
      <c r="K11" s="32">
        <f t="shared" si="5"/>
        <v>213.27450980392155</v>
      </c>
      <c r="L11" s="32">
        <f t="shared" si="6"/>
        <v>1533.90717870835</v>
      </c>
      <c r="M11" s="24">
        <f t="shared" si="7"/>
        <v>4.107158560471052</v>
      </c>
    </row>
    <row r="12" spans="1:14" ht="25.5">
      <c r="A12" s="67">
        <v>38420</v>
      </c>
      <c r="D12">
        <v>598</v>
      </c>
      <c r="E12" s="2">
        <f t="shared" si="4"/>
        <v>175.25649986</v>
      </c>
      <c r="F12" s="2">
        <f t="shared" si="0"/>
        <v>5.862745098039215</v>
      </c>
      <c r="G12" s="2">
        <f t="shared" si="1"/>
        <v>8.207843137254901</v>
      </c>
      <c r="H12" s="3">
        <f t="shared" si="2"/>
        <v>18</v>
      </c>
      <c r="I12" s="32">
        <f t="shared" si="3"/>
        <v>50.8243849594</v>
      </c>
      <c r="J12" s="32">
        <f t="shared" si="8"/>
        <v>1030.6055838989444</v>
      </c>
      <c r="K12" s="32">
        <f t="shared" si="5"/>
        <v>166.43681917211327</v>
      </c>
      <c r="L12" s="32">
        <f t="shared" si="6"/>
        <v>1197.0424030710576</v>
      </c>
      <c r="M12" s="24">
        <f t="shared" si="7"/>
        <v>5.262971456848238</v>
      </c>
      <c r="N12" s="4" t="s">
        <v>198</v>
      </c>
    </row>
    <row r="13" spans="1:13" ht="12.75">
      <c r="A13" s="67">
        <v>38428</v>
      </c>
      <c r="D13">
        <v>655</v>
      </c>
      <c r="E13" s="2">
        <f t="shared" si="4"/>
        <v>191.96155084999998</v>
      </c>
      <c r="F13" s="2">
        <f t="shared" si="0"/>
        <v>6.421568627450981</v>
      </c>
      <c r="G13" s="2">
        <f t="shared" si="1"/>
        <v>8.990196078431373</v>
      </c>
      <c r="H13" s="3">
        <f t="shared" si="2"/>
        <v>26</v>
      </c>
      <c r="I13" s="32">
        <f t="shared" si="3"/>
        <v>55.668849746499994</v>
      </c>
      <c r="J13" s="32">
        <f t="shared" si="8"/>
        <v>781.5050060566346</v>
      </c>
      <c r="K13" s="32">
        <f t="shared" si="5"/>
        <v>126.20852187028657</v>
      </c>
      <c r="L13" s="32">
        <f t="shared" si="6"/>
        <v>907.7135279269212</v>
      </c>
      <c r="M13" s="24">
        <f t="shared" si="7"/>
        <v>6.940515709166785</v>
      </c>
    </row>
    <row r="14" spans="1:13" ht="12.75">
      <c r="A14" s="67">
        <v>38460</v>
      </c>
      <c r="B14">
        <v>160</v>
      </c>
      <c r="C14">
        <v>110</v>
      </c>
      <c r="D14">
        <v>1470</v>
      </c>
      <c r="E14" s="2">
        <f t="shared" si="4"/>
        <v>430.8144729</v>
      </c>
      <c r="F14" s="2">
        <f t="shared" si="0"/>
        <v>14.411764705882353</v>
      </c>
      <c r="G14" s="2">
        <f t="shared" si="1"/>
        <v>20.176470588235293</v>
      </c>
      <c r="H14" s="3">
        <f t="shared" si="2"/>
        <v>58</v>
      </c>
      <c r="I14" s="32">
        <f t="shared" si="3"/>
        <v>124.93619714100001</v>
      </c>
      <c r="J14" s="32">
        <f t="shared" si="8"/>
        <v>786.2364130425001</v>
      </c>
      <c r="K14" s="32">
        <f t="shared" si="5"/>
        <v>126.97261663286005</v>
      </c>
      <c r="L14" s="32">
        <f t="shared" si="6"/>
        <v>913.2090296753602</v>
      </c>
      <c r="M14" s="24">
        <f t="shared" si="7"/>
        <v>6.898749131115807</v>
      </c>
    </row>
    <row r="15" spans="1:14" ht="12.75">
      <c r="A15" s="67">
        <v>38491</v>
      </c>
      <c r="B15">
        <v>160</v>
      </c>
      <c r="C15">
        <v>144</v>
      </c>
      <c r="D15">
        <v>2822</v>
      </c>
      <c r="E15" s="2">
        <f t="shared" si="4"/>
        <v>827.04655954</v>
      </c>
      <c r="F15" s="2">
        <f t="shared" si="0"/>
        <v>27.666666666666668</v>
      </c>
      <c r="G15" s="2">
        <f t="shared" si="1"/>
        <v>38.733333333333334</v>
      </c>
      <c r="H15" s="3">
        <f t="shared" si="2"/>
        <v>89</v>
      </c>
      <c r="I15" s="32">
        <f t="shared" si="3"/>
        <v>239.84350226659998</v>
      </c>
      <c r="J15" s="32">
        <f t="shared" si="8"/>
        <v>983.6278463742583</v>
      </c>
      <c r="K15" s="32">
        <f t="shared" si="5"/>
        <v>158.8501872659176</v>
      </c>
      <c r="L15" s="32">
        <f t="shared" si="6"/>
        <v>1142.478033640176</v>
      </c>
      <c r="M15" s="24">
        <f t="shared" si="7"/>
        <v>5.5143292164024125</v>
      </c>
      <c r="N15" s="4" t="s">
        <v>68</v>
      </c>
    </row>
    <row r="16" spans="1:13" ht="12.75">
      <c r="A16" s="67">
        <v>38578</v>
      </c>
      <c r="B16">
        <v>160</v>
      </c>
      <c r="C16">
        <v>40</v>
      </c>
      <c r="D16">
        <v>5557</v>
      </c>
      <c r="E16" s="2">
        <f t="shared" si="4"/>
        <v>1628.59593599</v>
      </c>
      <c r="F16" s="2">
        <f t="shared" si="0"/>
        <v>54.48039215686274</v>
      </c>
      <c r="G16" s="2">
        <f t="shared" si="1"/>
        <v>76.27254901960784</v>
      </c>
      <c r="H16" s="3">
        <f t="shared" si="2"/>
        <v>176</v>
      </c>
      <c r="I16" s="32">
        <f t="shared" si="3"/>
        <v>472.2928214371</v>
      </c>
      <c r="J16" s="32">
        <f t="shared" si="8"/>
        <v>979.4709080939858</v>
      </c>
      <c r="K16" s="32">
        <f t="shared" si="5"/>
        <v>158.17886586452764</v>
      </c>
      <c r="L16" s="32">
        <f t="shared" si="6"/>
        <v>1137.6497739585134</v>
      </c>
      <c r="M16" s="24">
        <f t="shared" si="7"/>
        <v>5.5377323884826275</v>
      </c>
    </row>
    <row r="17" spans="1:13" ht="12.75">
      <c r="A17" s="67">
        <v>38625</v>
      </c>
      <c r="B17">
        <v>150</v>
      </c>
      <c r="C17">
        <v>120</v>
      </c>
      <c r="D17">
        <v>6347</v>
      </c>
      <c r="E17" s="2">
        <f t="shared" si="4"/>
        <v>1860.1220812899999</v>
      </c>
      <c r="F17" s="2">
        <f t="shared" si="0"/>
        <v>62.22549019607843</v>
      </c>
      <c r="G17" s="2">
        <f t="shared" si="1"/>
        <v>87.1156862745098</v>
      </c>
      <c r="H17" s="3">
        <f t="shared" si="2"/>
        <v>223</v>
      </c>
      <c r="I17" s="32">
        <f t="shared" si="3"/>
        <v>539.4354035741</v>
      </c>
      <c r="J17" s="32">
        <f t="shared" si="8"/>
        <v>882.9323870159035</v>
      </c>
      <c r="K17" s="32">
        <f t="shared" si="5"/>
        <v>142.58845511298688</v>
      </c>
      <c r="L17" s="32">
        <f t="shared" si="6"/>
        <v>1025.5208421288903</v>
      </c>
      <c r="M17" s="24">
        <f t="shared" si="7"/>
        <v>6.143219855894649</v>
      </c>
    </row>
    <row r="18" spans="1:13" ht="12.75">
      <c r="A18" s="67">
        <v>38680</v>
      </c>
      <c r="B18">
        <v>140</v>
      </c>
      <c r="C18">
        <v>95</v>
      </c>
      <c r="D18">
        <v>8105</v>
      </c>
      <c r="E18" s="2">
        <f t="shared" si="4"/>
        <v>2375.34102235</v>
      </c>
      <c r="F18" s="2">
        <f t="shared" si="0"/>
        <v>79.46078431372548</v>
      </c>
      <c r="G18" s="2">
        <f t="shared" si="1"/>
        <v>111.24509803921568</v>
      </c>
      <c r="H18" s="3">
        <f t="shared" si="2"/>
        <v>278</v>
      </c>
      <c r="I18" s="32">
        <f t="shared" si="3"/>
        <v>688.8488964815001</v>
      </c>
      <c r="J18" s="32">
        <f t="shared" si="8"/>
        <v>904.4239108480125</v>
      </c>
      <c r="K18" s="32">
        <f t="shared" si="5"/>
        <v>146.0592114543659</v>
      </c>
      <c r="L18" s="32">
        <f t="shared" si="6"/>
        <v>1050.4831223023784</v>
      </c>
      <c r="M18" s="24">
        <f t="shared" si="7"/>
        <v>5.997240570788118</v>
      </c>
    </row>
    <row r="19" spans="1:13" ht="12.75">
      <c r="A19" s="67">
        <v>38695</v>
      </c>
      <c r="B19">
        <v>140</v>
      </c>
      <c r="C19">
        <v>95</v>
      </c>
      <c r="D19">
        <v>8414</v>
      </c>
      <c r="E19" s="2">
        <f t="shared" si="4"/>
        <v>2465.89998298</v>
      </c>
      <c r="F19" s="2">
        <f t="shared" si="0"/>
        <v>82.49019607843137</v>
      </c>
      <c r="G19" s="2">
        <f t="shared" si="1"/>
        <v>115.4862745098039</v>
      </c>
      <c r="H19" s="3">
        <f t="shared" si="2"/>
        <v>293</v>
      </c>
      <c r="I19" s="32">
        <f t="shared" si="3"/>
        <v>715.1109950642</v>
      </c>
      <c r="J19" s="32">
        <f t="shared" si="8"/>
        <v>890.8379290048907</v>
      </c>
      <c r="K19" s="32">
        <f t="shared" si="5"/>
        <v>143.86515425282738</v>
      </c>
      <c r="L19" s="32">
        <f t="shared" si="6"/>
        <v>1034.7030832577182</v>
      </c>
      <c r="M19" s="24">
        <f t="shared" si="7"/>
        <v>6.088703225049568</v>
      </c>
    </row>
    <row r="20" spans="1:13" ht="12.75">
      <c r="A20" s="67">
        <v>38726</v>
      </c>
      <c r="D20">
        <v>8900</v>
      </c>
      <c r="E20" s="2">
        <f t="shared" si="4"/>
        <v>2608.332523</v>
      </c>
      <c r="F20" s="2">
        <f t="shared" si="0"/>
        <v>87.25490196078431</v>
      </c>
      <c r="G20" s="2">
        <f t="shared" si="1"/>
        <v>122.15686274509802</v>
      </c>
      <c r="H20" s="3">
        <f t="shared" si="2"/>
        <v>324</v>
      </c>
      <c r="I20" s="32">
        <f t="shared" si="3"/>
        <v>756.4164316700001</v>
      </c>
      <c r="J20" s="32">
        <f t="shared" si="8"/>
        <v>852.1357949368827</v>
      </c>
      <c r="K20" s="32">
        <f t="shared" si="5"/>
        <v>137.61498426531105</v>
      </c>
      <c r="L20" s="32">
        <f t="shared" si="6"/>
        <v>989.7507792021937</v>
      </c>
      <c r="M20" s="24">
        <f t="shared" si="7"/>
        <v>6.365238737248813</v>
      </c>
    </row>
    <row r="21" spans="1:13" ht="12.75">
      <c r="A21" s="67">
        <v>38769</v>
      </c>
      <c r="B21">
        <v>155</v>
      </c>
      <c r="C21">
        <v>95</v>
      </c>
      <c r="D21">
        <v>9859</v>
      </c>
      <c r="E21" s="2">
        <f t="shared" si="4"/>
        <v>2889.38767913</v>
      </c>
      <c r="F21" s="2">
        <f t="shared" si="0"/>
        <v>96.65686274509804</v>
      </c>
      <c r="G21" s="2">
        <f t="shared" si="1"/>
        <v>135.31960784313725</v>
      </c>
      <c r="H21" s="3">
        <f t="shared" si="2"/>
        <v>367</v>
      </c>
      <c r="I21" s="32">
        <f t="shared" si="3"/>
        <v>837.9224269476999</v>
      </c>
      <c r="J21" s="32">
        <f t="shared" si="8"/>
        <v>833.3560921959413</v>
      </c>
      <c r="K21" s="32">
        <f t="shared" si="5"/>
        <v>134.58217128813376</v>
      </c>
      <c r="L21" s="32">
        <f t="shared" si="6"/>
        <v>967.938263484075</v>
      </c>
      <c r="M21" s="24">
        <f t="shared" si="7"/>
        <v>6.508679569421372</v>
      </c>
    </row>
    <row r="22" spans="1:13" ht="12.75">
      <c r="A22" s="67">
        <v>38793</v>
      </c>
      <c r="B22">
        <v>160</v>
      </c>
      <c r="C22">
        <v>99</v>
      </c>
      <c r="D22">
        <v>10532</v>
      </c>
      <c r="E22" s="2">
        <f t="shared" si="4"/>
        <v>3086.62450924</v>
      </c>
      <c r="F22" s="2">
        <f t="shared" si="0"/>
        <v>103.25490196078431</v>
      </c>
      <c r="G22" s="2">
        <f t="shared" si="1"/>
        <v>144.55686274509802</v>
      </c>
      <c r="H22" s="3">
        <f t="shared" si="2"/>
        <v>391</v>
      </c>
      <c r="I22" s="32">
        <f t="shared" si="3"/>
        <v>895.1211076796</v>
      </c>
      <c r="J22" s="32">
        <f t="shared" si="8"/>
        <v>835.5989879873504</v>
      </c>
      <c r="K22" s="32">
        <f t="shared" si="5"/>
        <v>134.94438593851862</v>
      </c>
      <c r="L22" s="32">
        <f t="shared" si="6"/>
        <v>970.543373925869</v>
      </c>
      <c r="M22" s="24">
        <f t="shared" si="7"/>
        <v>6.49120911981127</v>
      </c>
    </row>
    <row r="23" spans="1:13" ht="12.75">
      <c r="A23" s="67">
        <v>39131</v>
      </c>
      <c r="B23">
        <v>160</v>
      </c>
      <c r="C23">
        <v>110</v>
      </c>
      <c r="D23">
        <v>19777</v>
      </c>
      <c r="E23" s="2">
        <f t="shared" si="4"/>
        <v>5796.066551389999</v>
      </c>
      <c r="F23" s="2">
        <f t="shared" si="0"/>
        <v>193.8921568627451</v>
      </c>
      <c r="G23" s="2">
        <f t="shared" si="1"/>
        <v>271.4490196078431</v>
      </c>
      <c r="H23" s="3">
        <f t="shared" si="2"/>
        <v>729</v>
      </c>
      <c r="I23" s="32">
        <f t="shared" si="3"/>
        <v>1680.8592999030998</v>
      </c>
      <c r="J23" s="32">
        <f t="shared" si="8"/>
        <v>841.5825026949677</v>
      </c>
      <c r="K23" s="32">
        <f t="shared" si="5"/>
        <v>135.9106888297157</v>
      </c>
      <c r="L23" s="32">
        <f t="shared" si="6"/>
        <v>977.4931915246834</v>
      </c>
      <c r="M23" s="24">
        <f t="shared" si="7"/>
        <v>6.44505767878887</v>
      </c>
    </row>
    <row r="24" spans="1:13" ht="12.75">
      <c r="A24" s="67">
        <v>39496</v>
      </c>
      <c r="B24">
        <v>160</v>
      </c>
      <c r="C24">
        <v>110</v>
      </c>
      <c r="D24">
        <v>30272</v>
      </c>
      <c r="E24" s="2">
        <f t="shared" si="4"/>
        <v>8871.84743104</v>
      </c>
      <c r="F24" s="2">
        <f t="shared" si="0"/>
        <v>296.7843137254902</v>
      </c>
      <c r="G24" s="2">
        <f t="shared" si="1"/>
        <v>415.4980392156863</v>
      </c>
      <c r="H24" s="3">
        <f t="shared" si="2"/>
        <v>1094</v>
      </c>
      <c r="I24" s="32">
        <f t="shared" si="3"/>
        <v>2572.8357550016</v>
      </c>
      <c r="J24" s="32">
        <f t="shared" si="8"/>
        <v>858.3958414767677</v>
      </c>
      <c r="K24" s="32">
        <f t="shared" si="5"/>
        <v>138.62594544216225</v>
      </c>
      <c r="L24" s="32">
        <f t="shared" si="6"/>
        <v>997.0217869189299</v>
      </c>
      <c r="M24" s="24">
        <f t="shared" si="7"/>
        <v>6.318818788773637</v>
      </c>
    </row>
    <row r="25" spans="1:13" ht="12.75">
      <c r="A25" s="67">
        <v>39863</v>
      </c>
      <c r="B25">
        <v>160</v>
      </c>
      <c r="C25">
        <v>115</v>
      </c>
      <c r="D25">
        <v>40163</v>
      </c>
      <c r="E25" s="2">
        <f t="shared" si="4"/>
        <v>11770.61338441</v>
      </c>
      <c r="F25" s="2">
        <f t="shared" si="0"/>
        <v>393.7549019607843</v>
      </c>
      <c r="G25" s="2">
        <f t="shared" si="1"/>
        <v>551.256862745098</v>
      </c>
      <c r="H25" s="3">
        <f t="shared" si="2"/>
        <v>1461</v>
      </c>
      <c r="I25" s="32">
        <f t="shared" si="3"/>
        <v>3413.4778814789</v>
      </c>
      <c r="J25" s="32">
        <f t="shared" si="8"/>
        <v>852.7853708006835</v>
      </c>
      <c r="K25" s="32">
        <f t="shared" si="5"/>
        <v>137.71988699655083</v>
      </c>
      <c r="L25" s="32">
        <f t="shared" si="6"/>
        <v>990.5052577972343</v>
      </c>
      <c r="M25" s="24">
        <f t="shared" si="7"/>
        <v>6.360390265883544</v>
      </c>
    </row>
    <row r="26" spans="1:13" ht="12.75">
      <c r="A26" s="67">
        <v>40237</v>
      </c>
      <c r="B26">
        <v>160</v>
      </c>
      <c r="C26">
        <v>115</v>
      </c>
      <c r="D26">
        <v>50333</v>
      </c>
      <c r="E26" s="2">
        <f t="shared" si="4"/>
        <v>14751.14616631</v>
      </c>
      <c r="F26" s="2">
        <f t="shared" si="0"/>
        <v>493.46078431372547</v>
      </c>
      <c r="G26" s="2">
        <f t="shared" si="1"/>
        <v>690.8450980392156</v>
      </c>
      <c r="H26" s="3">
        <f t="shared" si="2"/>
        <v>1835</v>
      </c>
      <c r="I26" s="32">
        <f t="shared" si="3"/>
        <v>4277.8323882299</v>
      </c>
      <c r="J26" s="32">
        <f t="shared" si="8"/>
        <v>850.9039900293806</v>
      </c>
      <c r="K26" s="32">
        <f t="shared" si="5"/>
        <v>137.4160549233317</v>
      </c>
      <c r="L26" s="32">
        <f t="shared" si="6"/>
        <v>988.3200449527122</v>
      </c>
      <c r="M26" s="24">
        <f t="shared" si="7"/>
        <v>6.37445332832588</v>
      </c>
    </row>
    <row r="27" spans="1:13" ht="12.75">
      <c r="A27" s="67"/>
      <c r="E27" s="2"/>
      <c r="F27" s="2"/>
      <c r="G27" s="2"/>
      <c r="H27" s="3"/>
      <c r="I27" s="32"/>
      <c r="J27" s="32"/>
      <c r="K27" s="32"/>
      <c r="L27" s="32"/>
      <c r="M27" s="24"/>
    </row>
    <row r="28" spans="1:13" ht="12.75">
      <c r="A28" s="67"/>
      <c r="E28" s="2"/>
      <c r="F28" s="2"/>
      <c r="G28" s="2"/>
      <c r="H28" s="3"/>
      <c r="I28" s="32"/>
      <c r="J28" s="32"/>
      <c r="K28" s="32"/>
      <c r="L28" s="32"/>
      <c r="M28" s="24"/>
    </row>
    <row r="29" spans="1:13" ht="12.75">
      <c r="A29" s="67"/>
      <c r="E29" s="2"/>
      <c r="F29" s="2"/>
      <c r="G29" s="2"/>
      <c r="H29" s="3"/>
      <c r="I29" s="32"/>
      <c r="J29" s="32"/>
      <c r="K29" s="32"/>
      <c r="L29" s="32"/>
      <c r="M29" s="24"/>
    </row>
    <row r="30" spans="1:13" ht="12.75">
      <c r="A30" s="67"/>
      <c r="E30" s="2"/>
      <c r="F30" s="2"/>
      <c r="G30" s="2"/>
      <c r="H30" s="3"/>
      <c r="I30" s="32"/>
      <c r="J30" s="32"/>
      <c r="K30" s="32"/>
      <c r="L30" s="32"/>
      <c r="M30" s="24"/>
    </row>
    <row r="31" spans="1:13" ht="12.75">
      <c r="A31" s="67"/>
      <c r="E31" s="2"/>
      <c r="F31" s="2"/>
      <c r="G31" s="2"/>
      <c r="H31" s="3"/>
      <c r="I31" s="32"/>
      <c r="J31" s="32"/>
      <c r="K31" s="32"/>
      <c r="L31" s="32"/>
      <c r="M31" s="24"/>
    </row>
    <row r="32" spans="1:13" ht="12.75">
      <c r="A32" s="67"/>
      <c r="E32" s="2"/>
      <c r="F32" s="2"/>
      <c r="G32" s="2"/>
      <c r="H32" s="3"/>
      <c r="I32" s="32"/>
      <c r="J32" s="32"/>
      <c r="K32" s="32"/>
      <c r="L32" s="32"/>
      <c r="M32" s="24"/>
    </row>
    <row r="33" spans="1:13" ht="12.75">
      <c r="A33" s="67"/>
      <c r="E33" s="2"/>
      <c r="F33" s="2"/>
      <c r="G33" s="2"/>
      <c r="H33" s="3"/>
      <c r="I33" s="32"/>
      <c r="J33" s="32"/>
      <c r="K33" s="32"/>
      <c r="L33" s="32"/>
      <c r="M33" s="24"/>
    </row>
    <row r="34" spans="1:13" ht="12.75">
      <c r="A34" s="67"/>
      <c r="E34" s="2"/>
      <c r="F34" s="2"/>
      <c r="G34" s="2"/>
      <c r="H34" s="3"/>
      <c r="I34" s="32"/>
      <c r="J34" s="32"/>
      <c r="K34" s="32"/>
      <c r="L34" s="32"/>
      <c r="M34" s="24"/>
    </row>
    <row r="35" spans="5:13" ht="12.75">
      <c r="E35" s="2"/>
      <c r="F35" s="2"/>
      <c r="G35" s="2"/>
      <c r="H35" s="3"/>
      <c r="I35" s="32"/>
      <c r="J35" s="32"/>
      <c r="K35" s="32"/>
      <c r="L35" s="32"/>
      <c r="M35" s="24"/>
    </row>
    <row r="36" spans="5:13" ht="12.75">
      <c r="E36" s="2"/>
      <c r="F36" s="2"/>
      <c r="G36" s="2"/>
      <c r="H36" s="3"/>
      <c r="I36" s="32"/>
      <c r="J36" s="32"/>
      <c r="K36" s="32"/>
      <c r="L36" s="32"/>
      <c r="M36" s="24"/>
    </row>
    <row r="37" spans="5:13" ht="12.75">
      <c r="E37" s="2"/>
      <c r="F37" s="2"/>
      <c r="G37" s="2"/>
      <c r="H37" s="3"/>
      <c r="I37" s="32"/>
      <c r="J37" s="32"/>
      <c r="K37" s="32"/>
      <c r="L37" s="32"/>
      <c r="M37" s="24"/>
    </row>
    <row r="38" spans="5:13" ht="12.75">
      <c r="E38" s="2"/>
      <c r="F38" s="2"/>
      <c r="G38" s="2"/>
      <c r="H38" s="3"/>
      <c r="I38" s="32"/>
      <c r="J38" s="32"/>
      <c r="K38" s="32"/>
      <c r="L38" s="32"/>
      <c r="M38" s="24"/>
    </row>
    <row r="39" spans="5:13" ht="12.75">
      <c r="E39" s="2"/>
      <c r="F39" s="2"/>
      <c r="G39" s="2"/>
      <c r="H39" s="3"/>
      <c r="I39" s="32"/>
      <c r="J39" s="32"/>
      <c r="K39" s="32"/>
      <c r="L39" s="32"/>
      <c r="M39" s="24"/>
    </row>
    <row r="40" spans="5:13" ht="12.75">
      <c r="E40" s="2"/>
      <c r="F40" s="2"/>
      <c r="G40" s="2"/>
      <c r="H40" s="3"/>
      <c r="I40" s="32"/>
      <c r="J40" s="32"/>
      <c r="K40" s="32"/>
      <c r="L40" s="32"/>
      <c r="M40" s="24"/>
    </row>
    <row r="41" spans="5:13" ht="12.75">
      <c r="E41" s="2"/>
      <c r="F41" s="2"/>
      <c r="G41" s="2"/>
      <c r="H41" s="3"/>
      <c r="I41" s="32"/>
      <c r="J41" s="32"/>
      <c r="K41" s="32"/>
      <c r="L41" s="32"/>
      <c r="M41" s="24"/>
    </row>
    <row r="42" spans="5:13" ht="12.75">
      <c r="E42" s="2"/>
      <c r="F42" s="2"/>
      <c r="G42" s="2"/>
      <c r="H42" s="3"/>
      <c r="I42" s="32"/>
      <c r="J42" s="32"/>
      <c r="K42" s="32"/>
      <c r="L42" s="32"/>
      <c r="M42" s="24"/>
    </row>
    <row r="43" spans="5:13" ht="12.75">
      <c r="E43" s="2"/>
      <c r="F43" s="2"/>
      <c r="G43" s="2"/>
      <c r="H43" s="3"/>
      <c r="I43" s="32"/>
      <c r="J43" s="32"/>
      <c r="K43" s="32"/>
      <c r="L43" s="32"/>
      <c r="M43" s="24"/>
    </row>
    <row r="44" spans="5:13" ht="12.75">
      <c r="E44" s="2"/>
      <c r="F44" s="2"/>
      <c r="G44" s="2"/>
      <c r="H44" s="3"/>
      <c r="I44" s="32"/>
      <c r="J44" s="32"/>
      <c r="K44" s="32"/>
      <c r="L44" s="32"/>
      <c r="M44" s="24"/>
    </row>
    <row r="45" spans="5:13" ht="12.75">
      <c r="E45" s="2"/>
      <c r="F45" s="2"/>
      <c r="G45" s="2"/>
      <c r="H45" s="3"/>
      <c r="I45" s="32"/>
      <c r="J45" s="32"/>
      <c r="K45" s="32"/>
      <c r="L45" s="32"/>
      <c r="M45" s="24"/>
    </row>
    <row r="46" spans="5:13" ht="12.75">
      <c r="E46" s="2"/>
      <c r="F46" s="2"/>
      <c r="G46" s="2"/>
      <c r="H46" s="3"/>
      <c r="I46" s="32"/>
      <c r="J46" s="32"/>
      <c r="K46" s="32"/>
      <c r="L46" s="32"/>
      <c r="M46" s="24"/>
    </row>
    <row r="47" spans="9:12" ht="12.75">
      <c r="I47" s="32"/>
      <c r="J47" s="32"/>
      <c r="K47" s="32"/>
      <c r="L47" s="32"/>
    </row>
    <row r="48" spans="9:12" ht="12.75">
      <c r="I48" s="32"/>
      <c r="J48" s="32"/>
      <c r="K48" s="32"/>
      <c r="L48" s="32"/>
    </row>
    <row r="49" spans="9:12" ht="12.75">
      <c r="I49" s="32"/>
      <c r="J49" s="32"/>
      <c r="K49" s="32"/>
      <c r="L49" s="32"/>
    </row>
    <row r="50" spans="9:12" ht="12.75">
      <c r="I50" s="32"/>
      <c r="J50" s="32"/>
      <c r="K50" s="32"/>
      <c r="L50" s="32"/>
    </row>
    <row r="51" spans="9:12" ht="12.75">
      <c r="I51" s="32"/>
      <c r="J51" s="32"/>
      <c r="K51" s="32"/>
      <c r="L51" s="32"/>
    </row>
    <row r="52" spans="9:12" ht="12.75">
      <c r="I52" s="32"/>
      <c r="J52" s="32"/>
      <c r="K52" s="32"/>
      <c r="L52" s="32"/>
    </row>
    <row r="53" spans="9:12" ht="12.75">
      <c r="I53" s="32"/>
      <c r="J53" s="32"/>
      <c r="K53" s="32"/>
      <c r="L53" s="32"/>
    </row>
    <row r="54" spans="9:12" ht="12.75">
      <c r="I54" s="32"/>
      <c r="J54" s="32"/>
      <c r="K54" s="32"/>
      <c r="L54" s="32"/>
    </row>
    <row r="55" spans="9:12" ht="12.75">
      <c r="I55" s="32"/>
      <c r="J55" s="32"/>
      <c r="K55" s="32"/>
      <c r="L55" s="32"/>
    </row>
    <row r="56" spans="9:12" ht="12.75">
      <c r="I56" s="32"/>
      <c r="J56" s="32"/>
      <c r="K56" s="32"/>
      <c r="L56" s="32"/>
    </row>
    <row r="57" spans="9:12" ht="12.75">
      <c r="I57" s="32"/>
      <c r="J57" s="32"/>
      <c r="K57" s="32"/>
      <c r="L57" s="32"/>
    </row>
    <row r="58" spans="9:12" ht="12.75">
      <c r="I58" s="32"/>
      <c r="J58" s="32"/>
      <c r="K58" s="32"/>
      <c r="L58" s="32"/>
    </row>
    <row r="59" spans="9:12" ht="12.75">
      <c r="I59" s="32"/>
      <c r="J59" s="32"/>
      <c r="K59" s="32"/>
      <c r="L59" s="32"/>
    </row>
    <row r="60" spans="9:12" ht="12.75">
      <c r="I60" s="32"/>
      <c r="J60" s="32"/>
      <c r="K60" s="32"/>
      <c r="L60" s="32"/>
    </row>
    <row r="61" spans="9:12" ht="12.75">
      <c r="I61" s="32"/>
      <c r="J61" s="32"/>
      <c r="K61" s="32"/>
      <c r="L61" s="32"/>
    </row>
    <row r="62" spans="9:12" ht="12.75">
      <c r="I62" s="32"/>
      <c r="J62" s="32"/>
      <c r="K62" s="32"/>
      <c r="L62" s="32"/>
    </row>
    <row r="63" spans="9:12" ht="12.75">
      <c r="I63" s="32"/>
      <c r="J63" s="32"/>
      <c r="K63" s="32"/>
      <c r="L63" s="32"/>
    </row>
    <row r="64" spans="9:12" ht="12.75">
      <c r="I64" s="32"/>
      <c r="J64" s="32"/>
      <c r="K64" s="32"/>
      <c r="L64" s="32"/>
    </row>
    <row r="65" spans="9:12" ht="12.75">
      <c r="I65" s="32"/>
      <c r="J65" s="32"/>
      <c r="K65" s="32"/>
      <c r="L65" s="32"/>
    </row>
    <row r="66" spans="9:12" ht="12.75">
      <c r="I66" s="32"/>
      <c r="J66" s="32"/>
      <c r="K66" s="32"/>
      <c r="L66" s="32"/>
    </row>
    <row r="67" spans="9:12" ht="12.75">
      <c r="I67" s="32"/>
      <c r="J67" s="32"/>
      <c r="K67" s="32"/>
      <c r="L67" s="32"/>
    </row>
    <row r="68" spans="9:12" ht="12.75">
      <c r="I68" s="32"/>
      <c r="J68" s="32"/>
      <c r="K68" s="32"/>
      <c r="L68" s="32"/>
    </row>
    <row r="69" spans="9:12" ht="12.75">
      <c r="I69" s="32"/>
      <c r="J69" s="32"/>
      <c r="K69" s="32"/>
      <c r="L69" s="32"/>
    </row>
    <row r="70" spans="9:12" ht="12.75">
      <c r="I70" s="32"/>
      <c r="J70" s="32"/>
      <c r="K70" s="32"/>
      <c r="L70" s="32"/>
    </row>
    <row r="71" spans="9:12" ht="12.75">
      <c r="I71" s="32"/>
      <c r="J71" s="32"/>
      <c r="K71" s="32"/>
      <c r="L71" s="32"/>
    </row>
    <row r="72" spans="9:12" ht="12.75">
      <c r="I72" s="32"/>
      <c r="J72" s="32"/>
      <c r="K72" s="32"/>
      <c r="L72" s="32"/>
    </row>
    <row r="73" spans="10:12" ht="12.75">
      <c r="J73" s="32"/>
      <c r="K73" s="32"/>
      <c r="L73" s="32"/>
    </row>
    <row r="74" spans="10:12" ht="12.75">
      <c r="J74" s="32"/>
      <c r="K74" s="32"/>
      <c r="L74" s="32"/>
    </row>
    <row r="75" spans="10:12" ht="12.75">
      <c r="J75" s="32"/>
      <c r="K75" s="32"/>
      <c r="L75" s="32"/>
    </row>
    <row r="76" spans="10:12" ht="12.75">
      <c r="J76" s="32"/>
      <c r="K76" s="32"/>
      <c r="L76" s="32"/>
    </row>
    <row r="77" spans="10:12" ht="12.75">
      <c r="J77" s="32"/>
      <c r="K77" s="32"/>
      <c r="L77" s="32"/>
    </row>
    <row r="78" spans="10:12" ht="12.75">
      <c r="J78" s="32"/>
      <c r="K78" s="32"/>
      <c r="L78" s="32"/>
    </row>
    <row r="79" spans="10:12" ht="12.75">
      <c r="J79" s="32"/>
      <c r="K79" s="32"/>
      <c r="L79" s="32"/>
    </row>
    <row r="80" spans="10:12" ht="12.75">
      <c r="J80" s="32"/>
      <c r="K80" s="32"/>
      <c r="L80" s="32"/>
    </row>
    <row r="81" spans="10:12" ht="12.75">
      <c r="J81" s="32"/>
      <c r="K81" s="32"/>
      <c r="L81" s="32"/>
    </row>
    <row r="82" spans="10:12" ht="12.75">
      <c r="J82" s="32"/>
      <c r="K82" s="32"/>
      <c r="L82" s="32"/>
    </row>
    <row r="83" spans="10:12" ht="12.75">
      <c r="J83" s="32"/>
      <c r="K83" s="32"/>
      <c r="L83" s="32"/>
    </row>
    <row r="84" spans="10:12" ht="12.75">
      <c r="J84" s="32"/>
      <c r="K84" s="32"/>
      <c r="L84" s="32"/>
    </row>
    <row r="85" spans="10:12" ht="12.75">
      <c r="J85" s="32"/>
      <c r="K85" s="32"/>
      <c r="L85" s="32"/>
    </row>
  </sheetData>
  <printOptions/>
  <pageMargins left="0.75" right="0.75" top="1" bottom="1" header="0.5" footer="0.5"/>
  <pageSetup orientation="portrait"/>
  <ignoredErrors>
    <ignoredError sqref="J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showZeros="0" workbookViewId="0" topLeftCell="A1">
      <selection activeCell="B9" sqref="B9"/>
    </sheetView>
  </sheetViews>
  <sheetFormatPr defaultColWidth="11.00390625" defaultRowHeight="12.75"/>
  <cols>
    <col min="1" max="1" width="49.625" style="0" customWidth="1"/>
    <col min="2" max="2" width="13.875" style="38" customWidth="1"/>
    <col min="3" max="3" width="19.25390625" style="0" customWidth="1"/>
    <col min="4" max="4" width="28.875" style="0" customWidth="1"/>
  </cols>
  <sheetData>
    <row r="1" ht="22.5">
      <c r="B1" s="48" t="s">
        <v>132</v>
      </c>
    </row>
    <row r="2" spans="1:4" s="52" customFormat="1" ht="67.5">
      <c r="A2" s="49" t="s">
        <v>159</v>
      </c>
      <c r="B2" s="50"/>
      <c r="C2" s="75" t="s">
        <v>257</v>
      </c>
      <c r="D2" s="76" t="s">
        <v>75</v>
      </c>
    </row>
    <row r="3" spans="1:4" s="52" customFormat="1" ht="19.5">
      <c r="A3" s="51" t="s">
        <v>150</v>
      </c>
      <c r="B3" s="50">
        <v>30000</v>
      </c>
      <c r="C3" s="50">
        <f>3*3000</f>
        <v>9000</v>
      </c>
      <c r="D3" s="50">
        <f>1.5*3000</f>
        <v>4500</v>
      </c>
    </row>
    <row r="4" spans="1:4" s="52" customFormat="1" ht="19.5">
      <c r="A4" s="51" t="s">
        <v>144</v>
      </c>
      <c r="B4" s="53">
        <f>B3*0.3</f>
        <v>9000</v>
      </c>
      <c r="C4" s="53">
        <f>C3*0.3</f>
        <v>2700</v>
      </c>
      <c r="D4" s="53">
        <f>D3*0.3</f>
        <v>1350</v>
      </c>
    </row>
    <row r="5" spans="1:4" s="52" customFormat="1" ht="19.5">
      <c r="A5" s="54" t="s">
        <v>73</v>
      </c>
      <c r="B5" s="50">
        <f>B3-B4</f>
        <v>21000</v>
      </c>
      <c r="C5" s="50">
        <f>C3-C4</f>
        <v>6300</v>
      </c>
      <c r="D5" s="50">
        <f>D3-D4</f>
        <v>3150</v>
      </c>
    </row>
    <row r="6" spans="1:4" s="52" customFormat="1" ht="54">
      <c r="A6" s="74" t="s">
        <v>258</v>
      </c>
      <c r="B6" s="50">
        <f>'cost summary'!B5</f>
        <v>1575</v>
      </c>
      <c r="C6" s="50">
        <f>4*80</f>
        <v>320</v>
      </c>
      <c r="D6" s="50">
        <f>4*40</f>
        <v>160</v>
      </c>
    </row>
    <row r="7" spans="1:4" s="52" customFormat="1" ht="19.5">
      <c r="A7" s="51" t="s">
        <v>22</v>
      </c>
      <c r="B7" s="50">
        <f>'cost summary'!B6</f>
        <v>715.0000000000001</v>
      </c>
      <c r="C7" s="50">
        <f>B7</f>
        <v>715.0000000000001</v>
      </c>
      <c r="D7" s="50">
        <f>C7</f>
        <v>715.0000000000001</v>
      </c>
    </row>
    <row r="8" spans="1:4" s="52" customFormat="1" ht="19.5">
      <c r="A8" s="54" t="s">
        <v>19</v>
      </c>
      <c r="B8" s="50">
        <f>B6+B7</f>
        <v>2290</v>
      </c>
      <c r="C8" s="50">
        <f>C6+C7</f>
        <v>1035</v>
      </c>
      <c r="D8" s="50">
        <f>D6+D7</f>
        <v>875.0000000000001</v>
      </c>
    </row>
    <row r="9" spans="1:4" s="52" customFormat="1" ht="36">
      <c r="A9" s="77" t="s">
        <v>224</v>
      </c>
      <c r="B9" s="78">
        <f>(B3-B4)/(B8)</f>
        <v>9.170305676855895</v>
      </c>
      <c r="C9" s="78">
        <f>(C3-C4)/(C8)</f>
        <v>6.086956521739131</v>
      </c>
      <c r="D9" s="78">
        <f>(D3-D4)/(D8)</f>
        <v>3.5999999999999996</v>
      </c>
    </row>
    <row r="10" spans="1:2" s="52" customFormat="1" ht="19.5">
      <c r="A10" s="57" t="s">
        <v>46</v>
      </c>
      <c r="B10" s="55"/>
    </row>
    <row r="11" spans="1:3" s="52" customFormat="1" ht="19.5">
      <c r="A11" s="57" t="s">
        <v>76</v>
      </c>
      <c r="B11" s="50"/>
      <c r="C11" s="51"/>
    </row>
    <row r="12" spans="1:3" s="52" customFormat="1" ht="19.5">
      <c r="A12" s="51"/>
      <c r="B12" s="50"/>
      <c r="C12" s="51"/>
    </row>
    <row r="13" spans="1:3" s="52" customFormat="1" ht="19.5">
      <c r="A13" s="49" t="s">
        <v>57</v>
      </c>
      <c r="B13" s="50"/>
      <c r="C13" s="51"/>
    </row>
    <row r="14" spans="1:3" s="52" customFormat="1" ht="19.5">
      <c r="A14" s="51" t="s">
        <v>158</v>
      </c>
      <c r="B14" s="50">
        <v>9000</v>
      </c>
      <c r="C14" s="51"/>
    </row>
    <row r="15" spans="1:3" s="52" customFormat="1" ht="19.5">
      <c r="A15" s="51" t="s">
        <v>144</v>
      </c>
      <c r="B15" s="53">
        <f>B14*0.3</f>
        <v>2700</v>
      </c>
      <c r="C15" s="51"/>
    </row>
    <row r="16" spans="1:3" s="52" customFormat="1" ht="19.5">
      <c r="A16" s="54" t="s">
        <v>73</v>
      </c>
      <c r="B16" s="50">
        <f>B14-B15</f>
        <v>6300</v>
      </c>
      <c r="C16" s="51"/>
    </row>
    <row r="17" spans="1:3" s="52" customFormat="1" ht="9.75" customHeight="1">
      <c r="A17" s="54"/>
      <c r="B17" s="50"/>
      <c r="C17" s="51"/>
    </row>
    <row r="18" spans="1:3" s="52" customFormat="1" ht="19.5">
      <c r="A18" s="51" t="s">
        <v>171</v>
      </c>
      <c r="B18" s="50">
        <f>'cost summary'!B14</f>
        <v>1500</v>
      </c>
      <c r="C18" s="51" t="s">
        <v>20</v>
      </c>
    </row>
    <row r="19" spans="1:3" s="52" customFormat="1" ht="19.5">
      <c r="A19" s="51" t="s">
        <v>24</v>
      </c>
      <c r="B19" s="50">
        <f>'cost summary'!B15</f>
        <v>300</v>
      </c>
      <c r="C19" s="51"/>
    </row>
    <row r="20" spans="1:3" s="52" customFormat="1" ht="19.5">
      <c r="A20" s="54" t="s">
        <v>19</v>
      </c>
      <c r="B20" s="50">
        <f>B18+B19</f>
        <v>1800</v>
      </c>
      <c r="C20" s="51"/>
    </row>
    <row r="21" spans="1:3" s="52" customFormat="1" ht="19.5">
      <c r="A21" s="51" t="s">
        <v>81</v>
      </c>
      <c r="B21" s="55">
        <f>(B14-B15)/(B18+B19)</f>
        <v>3.5</v>
      </c>
      <c r="C21" s="51"/>
    </row>
    <row r="22" spans="1:3" s="52" customFormat="1" ht="19.5">
      <c r="A22" s="72" t="s">
        <v>66</v>
      </c>
      <c r="B22" s="50"/>
      <c r="C22" s="51"/>
    </row>
    <row r="23" spans="1:3" s="52" customFormat="1" ht="19.5">
      <c r="A23" s="101" t="s">
        <v>47</v>
      </c>
      <c r="B23" s="50"/>
      <c r="C23" s="51"/>
    </row>
    <row r="24" spans="1:2" s="52" customFormat="1" ht="19.5">
      <c r="A24" s="90" t="s">
        <v>87</v>
      </c>
      <c r="B24" s="56"/>
    </row>
    <row r="25" spans="1:2" s="52" customFormat="1" ht="19.5">
      <c r="A25" s="90"/>
      <c r="B25" s="56"/>
    </row>
    <row r="26" ht="22.5">
      <c r="B26" s="48" t="s">
        <v>132</v>
      </c>
    </row>
    <row r="27" spans="1:4" s="52" customFormat="1" ht="72">
      <c r="A27" s="49" t="str">
        <f>A2</f>
        <v>PV solar system for residential (or commercial)</v>
      </c>
      <c r="B27" s="50"/>
      <c r="C27" s="75" t="str">
        <f aca="true" t="shared" si="0" ref="C27:D30">C2</f>
        <v>Can now be installed for $3/W</v>
      </c>
      <c r="D27" s="76" t="str">
        <f t="shared" si="0"/>
        <v>Co-operative install at $1.50/W (http://suntern.wordpress.com/ see 2-6-12 blog)</v>
      </c>
    </row>
    <row r="28" spans="1:4" s="52" customFormat="1" ht="19.5">
      <c r="A28" s="51" t="str">
        <f>A3</f>
        <v>Our 3kW solar PV system cost in 2009 ($10/W)</v>
      </c>
      <c r="B28" s="50">
        <f>B3</f>
        <v>30000</v>
      </c>
      <c r="C28" s="50">
        <f t="shared" si="0"/>
        <v>9000</v>
      </c>
      <c r="D28" s="50">
        <f t="shared" si="0"/>
        <v>4500</v>
      </c>
    </row>
    <row r="29" spans="1:4" s="52" customFormat="1" ht="19.5">
      <c r="A29" s="51" t="str">
        <f>A4</f>
        <v>Federal tax credit (30%)</v>
      </c>
      <c r="B29" s="53">
        <f>B4</f>
        <v>9000</v>
      </c>
      <c r="C29" s="50">
        <f t="shared" si="0"/>
        <v>2700</v>
      </c>
      <c r="D29" s="50">
        <f t="shared" si="0"/>
        <v>1350</v>
      </c>
    </row>
    <row r="30" spans="1:4" s="52" customFormat="1" ht="19.5">
      <c r="A30" s="54" t="str">
        <f>A5</f>
        <v>remainder</v>
      </c>
      <c r="B30" s="50">
        <f>B5</f>
        <v>21000</v>
      </c>
      <c r="C30" s="50">
        <f t="shared" si="0"/>
        <v>6300</v>
      </c>
      <c r="D30" s="50">
        <f t="shared" si="0"/>
        <v>3150</v>
      </c>
    </row>
    <row r="31" spans="1:4" s="52" customFormat="1" ht="19.5">
      <c r="A31" s="54"/>
      <c r="B31" s="50"/>
      <c r="C31" s="50"/>
      <c r="D31" s="50"/>
    </row>
    <row r="32" spans="1:4" s="52" customFormat="1" ht="54">
      <c r="A32" s="74" t="str">
        <f aca="true" t="shared" si="1" ref="A32:A37">A6</f>
        <v>SREC income per year (4-5 SRECs per year: VA 2009 market $250/MWhr, DC $400/MWh, VA now $80/MWhr in PA)</v>
      </c>
      <c r="B32" s="50">
        <f>B6</f>
        <v>1575</v>
      </c>
      <c r="C32" s="50">
        <f aca="true" t="shared" si="2" ref="C32:D35">C6</f>
        <v>320</v>
      </c>
      <c r="D32" s="50">
        <f t="shared" si="2"/>
        <v>160</v>
      </c>
    </row>
    <row r="33" spans="1:4" s="52" customFormat="1" ht="19.5">
      <c r="A33" s="51" t="str">
        <f t="shared" si="1"/>
        <v>Electricity offset income per year</v>
      </c>
      <c r="B33" s="50">
        <f>B7</f>
        <v>715.0000000000001</v>
      </c>
      <c r="C33" s="50">
        <f t="shared" si="2"/>
        <v>715.0000000000001</v>
      </c>
      <c r="D33" s="50">
        <f t="shared" si="2"/>
        <v>715.0000000000001</v>
      </c>
    </row>
    <row r="34" spans="1:4" s="52" customFormat="1" ht="19.5">
      <c r="A34" s="54" t="str">
        <f t="shared" si="1"/>
        <v>Total annual income</v>
      </c>
      <c r="B34" s="50">
        <f>B8</f>
        <v>2290</v>
      </c>
      <c r="C34" s="50">
        <f t="shared" si="2"/>
        <v>1035</v>
      </c>
      <c r="D34" s="50">
        <f t="shared" si="2"/>
        <v>875.0000000000001</v>
      </c>
    </row>
    <row r="35" spans="1:4" s="52" customFormat="1" ht="36">
      <c r="A35" s="77" t="str">
        <f t="shared" si="1"/>
        <v>Years to pay off investment (depends on SREC market)</v>
      </c>
      <c r="B35" s="78">
        <f>B9</f>
        <v>9.170305676855895</v>
      </c>
      <c r="C35" s="78">
        <f t="shared" si="2"/>
        <v>6.086956521739131</v>
      </c>
      <c r="D35" s="78">
        <f t="shared" si="2"/>
        <v>3.5999999999999996</v>
      </c>
    </row>
    <row r="36" spans="1:2" s="52" customFormat="1" ht="19.5">
      <c r="A36" s="57" t="str">
        <f t="shared" si="1"/>
        <v>Equivalent to 9% tax-free investment!!  Plus, if you sell your house, you should make this back dollar for dollar.</v>
      </c>
      <c r="B36" s="55"/>
    </row>
    <row r="37" spans="1:3" s="52" customFormat="1" ht="19.5">
      <c r="A37" s="57" t="str">
        <f t="shared" si="1"/>
        <v>You can do a Solar Partnership agreement with Dominion where they pay you $0.15/kWh, but then you cannot sell the SRECs</v>
      </c>
      <c r="B37" s="50"/>
      <c r="C37" s="51"/>
    </row>
    <row r="38" spans="1:4" s="52" customFormat="1" ht="19.5">
      <c r="A38" s="49" t="str">
        <f aca="true" t="shared" si="3" ref="A38:D46">A13</f>
        <v>Solar hot water</v>
      </c>
      <c r="B38" s="50">
        <f t="shared" si="3"/>
        <v>0</v>
      </c>
      <c r="C38" s="51">
        <f t="shared" si="3"/>
        <v>0</v>
      </c>
      <c r="D38" s="52">
        <f t="shared" si="3"/>
        <v>0</v>
      </c>
    </row>
    <row r="39" spans="1:4" s="52" customFormat="1" ht="19.5">
      <c r="A39" s="51" t="str">
        <f t="shared" si="3"/>
        <v>Our solar hot water system cost in 2009</v>
      </c>
      <c r="B39" s="50">
        <f t="shared" si="3"/>
        <v>9000</v>
      </c>
      <c r="C39" s="51">
        <f t="shared" si="3"/>
        <v>0</v>
      </c>
      <c r="D39" s="52">
        <f t="shared" si="3"/>
        <v>0</v>
      </c>
    </row>
    <row r="40" spans="1:4" s="52" customFormat="1" ht="19.5">
      <c r="A40" s="51" t="str">
        <f t="shared" si="3"/>
        <v>Federal tax credit (30%)</v>
      </c>
      <c r="B40" s="53">
        <f t="shared" si="3"/>
        <v>2700</v>
      </c>
      <c r="C40" s="51">
        <f t="shared" si="3"/>
        <v>0</v>
      </c>
      <c r="D40" s="52">
        <f t="shared" si="3"/>
        <v>0</v>
      </c>
    </row>
    <row r="41" spans="1:4" s="52" customFormat="1" ht="19.5">
      <c r="A41" s="54" t="str">
        <f t="shared" si="3"/>
        <v>remainder</v>
      </c>
      <c r="B41" s="50">
        <f t="shared" si="3"/>
        <v>6300</v>
      </c>
      <c r="C41" s="51">
        <f t="shared" si="3"/>
        <v>0</v>
      </c>
      <c r="D41" s="52">
        <f t="shared" si="3"/>
        <v>0</v>
      </c>
    </row>
    <row r="42" spans="1:4" s="52" customFormat="1" ht="7.5" customHeight="1">
      <c r="A42" s="54">
        <f t="shared" si="3"/>
        <v>0</v>
      </c>
      <c r="B42" s="50">
        <f t="shared" si="3"/>
        <v>0</v>
      </c>
      <c r="C42" s="51">
        <f t="shared" si="3"/>
        <v>0</v>
      </c>
      <c r="D42" s="52">
        <f t="shared" si="3"/>
        <v>0</v>
      </c>
    </row>
    <row r="43" spans="1:4" s="52" customFormat="1" ht="19.5">
      <c r="A43" s="51" t="str">
        <f t="shared" si="3"/>
        <v>SREC income per year (current market is lower)</v>
      </c>
      <c r="B43" s="50">
        <f t="shared" si="3"/>
        <v>1500</v>
      </c>
      <c r="C43" s="51" t="str">
        <f t="shared" si="3"/>
        <v>6 RECs per year</v>
      </c>
      <c r="D43" s="52">
        <f t="shared" si="3"/>
        <v>0</v>
      </c>
    </row>
    <row r="44" spans="1:4" s="52" customFormat="1" ht="19.5">
      <c r="A44" s="51" t="str">
        <f t="shared" si="3"/>
        <v>NG offset income per year</v>
      </c>
      <c r="B44" s="50">
        <f t="shared" si="3"/>
        <v>300</v>
      </c>
      <c r="C44" s="51">
        <f t="shared" si="3"/>
        <v>0</v>
      </c>
      <c r="D44" s="52">
        <f t="shared" si="3"/>
        <v>0</v>
      </c>
    </row>
    <row r="45" spans="1:4" s="52" customFormat="1" ht="19.5">
      <c r="A45" s="54" t="str">
        <f t="shared" si="3"/>
        <v>Total annual income</v>
      </c>
      <c r="B45" s="50">
        <f t="shared" si="3"/>
        <v>1800</v>
      </c>
      <c r="C45" s="51">
        <f t="shared" si="3"/>
        <v>0</v>
      </c>
      <c r="D45" s="52">
        <f t="shared" si="3"/>
        <v>0</v>
      </c>
    </row>
    <row r="46" spans="1:4" s="52" customFormat="1" ht="19.5">
      <c r="A46" s="51" t="str">
        <f t="shared" si="3"/>
        <v>Years to pay off investment</v>
      </c>
      <c r="B46" s="55">
        <f t="shared" si="3"/>
        <v>3.5</v>
      </c>
      <c r="C46" s="51">
        <f t="shared" si="3"/>
        <v>0</v>
      </c>
      <c r="D46" s="52">
        <f t="shared" si="3"/>
        <v>0</v>
      </c>
    </row>
    <row r="47" spans="1:3" s="52" customFormat="1" ht="19.5">
      <c r="A47" s="72" t="str">
        <f>A22</f>
        <v>     (We paid off in 2.5 years due to upfront payment for SRECs!)</v>
      </c>
      <c r="B47" s="50"/>
      <c r="C47" s="51"/>
    </row>
    <row r="48" spans="1:3" s="52" customFormat="1" ht="19.5">
      <c r="A48" s="51" t="str">
        <f>A23</f>
        <v>These spreadsheets and more available at http://www.the-mcelroys.com/, with info on financing and incentives</v>
      </c>
      <c r="B48" s="50"/>
      <c r="C48" s="51"/>
    </row>
    <row r="49" ht="18">
      <c r="A49" s="96" t="str">
        <f>A24</f>
        <v>Note: Your numbers if you install today will be different since the local SREC market is depressed</v>
      </c>
    </row>
    <row r="50" ht="4.5" customHeight="1"/>
    <row r="51" ht="36" customHeight="1"/>
    <row r="52" s="34" customFormat="1" ht="19.5" customHeight="1">
      <c r="B52" s="48" t="s">
        <v>40</v>
      </c>
    </row>
    <row r="53" spans="1:2" s="44" customFormat="1" ht="19.5" customHeight="1">
      <c r="A53" s="49" t="s">
        <v>96</v>
      </c>
      <c r="B53" s="49"/>
    </row>
    <row r="54" spans="1:2" s="34" customFormat="1" ht="19.5" customHeight="1">
      <c r="A54" s="51" t="s">
        <v>14</v>
      </c>
      <c r="B54" s="97">
        <v>30000</v>
      </c>
    </row>
    <row r="55" spans="1:2" s="34" customFormat="1" ht="19.5" customHeight="1" thickBot="1">
      <c r="A55" s="51" t="s">
        <v>15</v>
      </c>
      <c r="B55" s="97">
        <v>9000</v>
      </c>
    </row>
    <row r="56" spans="1:2" s="34" customFormat="1" ht="19.5" customHeight="1">
      <c r="A56" s="98" t="s">
        <v>16</v>
      </c>
      <c r="B56" s="99">
        <f>SUM(B54:B55)</f>
        <v>39000</v>
      </c>
    </row>
    <row r="57" spans="1:2" s="34" customFormat="1" ht="19.5" customHeight="1">
      <c r="A57" s="51"/>
      <c r="B57" s="97"/>
    </row>
    <row r="58" spans="1:2" s="34" customFormat="1" ht="19.5" customHeight="1">
      <c r="A58" s="49" t="s">
        <v>41</v>
      </c>
      <c r="B58" s="97"/>
    </row>
    <row r="59" spans="1:2" s="34" customFormat="1" ht="19.5" customHeight="1">
      <c r="A59" s="51" t="s">
        <v>17</v>
      </c>
      <c r="B59" s="97">
        <f>0.3*B56</f>
        <v>11700</v>
      </c>
    </row>
    <row r="60" spans="1:2" s="34" customFormat="1" ht="19.5" customHeight="1">
      <c r="A60" s="51" t="s">
        <v>42</v>
      </c>
      <c r="B60" s="97">
        <f>23460*0.13</f>
        <v>3049.8</v>
      </c>
    </row>
    <row r="61" spans="1:2" s="34" customFormat="1" ht="19.5" customHeight="1" thickBot="1">
      <c r="A61" s="51" t="s">
        <v>69</v>
      </c>
      <c r="B61" s="97">
        <v>5000</v>
      </c>
    </row>
    <row r="62" spans="1:2" s="34" customFormat="1" ht="19.5" customHeight="1">
      <c r="A62" s="98" t="s">
        <v>70</v>
      </c>
      <c r="B62" s="99">
        <f>SUM(B59:B61)</f>
        <v>19749.8</v>
      </c>
    </row>
    <row r="63" spans="1:2" s="34" customFormat="1" ht="19.5" customHeight="1">
      <c r="A63" s="51" t="s">
        <v>44</v>
      </c>
      <c r="B63" s="51"/>
    </row>
    <row r="64" spans="1:2" s="34" customFormat="1" ht="19.5" customHeight="1">
      <c r="A64" s="51" t="s">
        <v>45</v>
      </c>
      <c r="B64" s="51"/>
    </row>
    <row r="65" spans="1:2" s="34" customFormat="1" ht="19.5" customHeight="1">
      <c r="A65" s="51"/>
      <c r="B65" s="51"/>
    </row>
    <row r="66" spans="1:2" s="34" customFormat="1" ht="19.5" customHeight="1">
      <c r="A66" s="49" t="s">
        <v>10</v>
      </c>
      <c r="B66" s="49"/>
    </row>
    <row r="67" spans="1:2" s="34" customFormat="1" ht="19.5" customHeight="1" thickBot="1">
      <c r="A67" s="51" t="s">
        <v>11</v>
      </c>
      <c r="B67" s="97">
        <v>9000</v>
      </c>
    </row>
    <row r="68" spans="1:2" s="34" customFormat="1" ht="19.5" customHeight="1">
      <c r="A68" s="98" t="s">
        <v>12</v>
      </c>
      <c r="B68" s="99">
        <f>SUM(B67:B67)</f>
        <v>9000</v>
      </c>
    </row>
    <row r="69" spans="1:2" s="34" customFormat="1" ht="19.5" customHeight="1">
      <c r="A69" s="51"/>
      <c r="B69" s="97"/>
    </row>
    <row r="70" spans="1:2" s="34" customFormat="1" ht="19.5" customHeight="1">
      <c r="A70" s="49" t="s">
        <v>43</v>
      </c>
      <c r="B70" s="97"/>
    </row>
    <row r="71" spans="1:2" s="34" customFormat="1" ht="19.5" customHeight="1">
      <c r="A71" s="51" t="s">
        <v>13</v>
      </c>
      <c r="B71" s="97">
        <f>0.3*B68</f>
        <v>2700</v>
      </c>
    </row>
    <row r="72" spans="1:2" s="34" customFormat="1" ht="19.5" customHeight="1">
      <c r="A72" s="51" t="s">
        <v>128</v>
      </c>
      <c r="B72" s="97">
        <f>11*12*5</f>
        <v>660</v>
      </c>
    </row>
    <row r="73" spans="1:2" s="34" customFormat="1" ht="19.5" customHeight="1" thickBot="1">
      <c r="A73" s="51" t="s">
        <v>129</v>
      </c>
      <c r="B73" s="97">
        <v>9600</v>
      </c>
    </row>
    <row r="74" spans="1:2" s="34" customFormat="1" ht="19.5" customHeight="1">
      <c r="A74" s="98" t="s">
        <v>130</v>
      </c>
      <c r="B74" s="99">
        <f>SUM(B71:B73)</f>
        <v>12960</v>
      </c>
    </row>
    <row r="75" spans="1:2" s="34" customFormat="1" ht="19.5" customHeight="1">
      <c r="A75" s="51" t="s">
        <v>131</v>
      </c>
      <c r="B75" s="51"/>
    </row>
    <row r="76" s="34" customFormat="1" ht="21"/>
    <row r="77" s="34" customFormat="1" ht="21">
      <c r="A77" s="90"/>
    </row>
    <row r="78" s="34" customFormat="1" ht="21">
      <c r="A78" s="90"/>
    </row>
    <row r="79" s="34" customFormat="1" ht="21">
      <c r="A79" s="90"/>
    </row>
    <row r="80" s="34" customFormat="1" ht="21">
      <c r="A80" s="90"/>
    </row>
    <row r="81" s="34" customFormat="1" ht="21">
      <c r="A81" s="90"/>
    </row>
    <row r="82" s="34" customFormat="1" ht="21">
      <c r="A82" s="90"/>
    </row>
    <row r="83" s="34" customFormat="1" ht="21"/>
    <row r="84" s="34" customFormat="1" ht="18.75" customHeight="1">
      <c r="B84" s="48" t="str">
        <f>B52</f>
        <v>Our systems:</v>
      </c>
    </row>
    <row r="85" spans="1:2" s="34" customFormat="1" ht="18.75" customHeight="1">
      <c r="A85" s="49" t="str">
        <f>A53</f>
        <v>PV Costs</v>
      </c>
      <c r="B85" s="49"/>
    </row>
    <row r="86" spans="1:2" s="34" customFormat="1" ht="18.75" customHeight="1">
      <c r="A86" s="51" t="str">
        <f>A54</f>
        <v>16 PV panels purchased in 2009</v>
      </c>
      <c r="B86" s="97">
        <f>B54</f>
        <v>30000</v>
      </c>
    </row>
    <row r="87" spans="1:2" s="34" customFormat="1" ht="18.75" customHeight="1" thickBot="1">
      <c r="A87" s="51" t="str">
        <f>A55</f>
        <v>6 additional panels in 2011</v>
      </c>
      <c r="B87" s="97">
        <f>B55</f>
        <v>9000</v>
      </c>
    </row>
    <row r="88" spans="1:2" s="34" customFormat="1" ht="18.75" customHeight="1">
      <c r="A88" s="98" t="str">
        <f>A56</f>
        <v>Total</v>
      </c>
      <c r="B88" s="99">
        <f>B56</f>
        <v>39000</v>
      </c>
    </row>
    <row r="89" spans="1:2" s="34" customFormat="1" ht="18.75" customHeight="1">
      <c r="A89" s="51"/>
      <c r="B89" s="97"/>
    </row>
    <row r="90" spans="1:2" s="34" customFormat="1" ht="18.75" customHeight="1">
      <c r="A90" s="49" t="str">
        <f aca="true" t="shared" si="4" ref="A90:A96">A58</f>
        <v>PV Income 2009-2014</v>
      </c>
      <c r="B90" s="97"/>
    </row>
    <row r="91" spans="1:2" s="34" customFormat="1" ht="18.75" customHeight="1">
      <c r="A91" s="51" t="str">
        <f t="shared" si="4"/>
        <v>Tax credits</v>
      </c>
      <c r="B91" s="97">
        <f>B59</f>
        <v>11700</v>
      </c>
    </row>
    <row r="92" spans="1:2" s="34" customFormat="1" ht="18.75" customHeight="1">
      <c r="A92" s="51" t="str">
        <f t="shared" si="4"/>
        <v>Electricity savings (23 MWh)</v>
      </c>
      <c r="B92" s="97">
        <f>B60</f>
        <v>3049.8</v>
      </c>
    </row>
    <row r="93" spans="1:2" s="34" customFormat="1" ht="18.75" customHeight="1" thickBot="1">
      <c r="A93" s="51" t="str">
        <f t="shared" si="4"/>
        <v>SRECS</v>
      </c>
      <c r="B93" s="97">
        <f>B61</f>
        <v>5000</v>
      </c>
    </row>
    <row r="94" spans="1:2" s="34" customFormat="1" ht="18.75" customHeight="1">
      <c r="A94" s="98" t="str">
        <f t="shared" si="4"/>
        <v>Total</v>
      </c>
      <c r="B94" s="99">
        <f>B62</f>
        <v>19749.8</v>
      </c>
    </row>
    <row r="95" spans="1:2" s="34" customFormat="1" ht="18.75" customHeight="1">
      <c r="A95" s="51" t="str">
        <f t="shared" si="4"/>
        <v>I.e. we made 50% on our investment in 5 years!  </v>
      </c>
      <c r="B95" s="51"/>
    </row>
    <row r="96" spans="1:2" s="34" customFormat="1" ht="18.75" customHeight="1">
      <c r="A96" s="51" t="str">
        <f t="shared" si="4"/>
        <v>Same as 9% tax-free investment.</v>
      </c>
      <c r="B96" s="51"/>
    </row>
    <row r="97" spans="1:2" s="34" customFormat="1" ht="18.75" customHeight="1">
      <c r="A97" s="51"/>
      <c r="B97" s="51"/>
    </row>
    <row r="98" spans="1:2" s="34" customFormat="1" ht="18.75" customHeight="1">
      <c r="A98" s="49" t="str">
        <f>A66</f>
        <v>Hot water system costs</v>
      </c>
      <c r="B98" s="49"/>
    </row>
    <row r="99" spans="1:2" s="34" customFormat="1" ht="18.75" customHeight="1" thickBot="1">
      <c r="A99" s="51" t="str">
        <f>A67</f>
        <v>Purchase in 2009</v>
      </c>
      <c r="B99" s="97">
        <f>B67</f>
        <v>9000</v>
      </c>
    </row>
    <row r="100" spans="1:2" s="34" customFormat="1" ht="18.75" customHeight="1">
      <c r="A100" s="98" t="str">
        <f>A68</f>
        <v>Total</v>
      </c>
      <c r="B100" s="99">
        <f>B68</f>
        <v>9000</v>
      </c>
    </row>
    <row r="101" spans="1:2" s="34" customFormat="1" ht="18.75" customHeight="1">
      <c r="A101" s="51"/>
      <c r="B101" s="97"/>
    </row>
    <row r="102" spans="1:2" s="34" customFormat="1" ht="18.75" customHeight="1">
      <c r="A102" s="49" t="str">
        <f aca="true" t="shared" si="5" ref="A102:A107">A70</f>
        <v>Hot water Income 2009-2014</v>
      </c>
      <c r="B102" s="97"/>
    </row>
    <row r="103" spans="1:2" s="34" customFormat="1" ht="18.75" customHeight="1">
      <c r="A103" s="51" t="str">
        <f t="shared" si="5"/>
        <v>Tax credits</v>
      </c>
      <c r="B103" s="97">
        <f>B71</f>
        <v>2700</v>
      </c>
    </row>
    <row r="104" spans="1:2" s="34" customFormat="1" ht="18.75" customHeight="1">
      <c r="A104" s="51" t="str">
        <f t="shared" si="5"/>
        <v>Natural gas savings</v>
      </c>
      <c r="B104" s="97">
        <f>B72</f>
        <v>660</v>
      </c>
    </row>
    <row r="105" spans="1:2" s="34" customFormat="1" ht="18.75" customHeight="1" thickBot="1">
      <c r="A105" s="51" t="str">
        <f t="shared" si="5"/>
        <v>SRECS (includes 10-yr upfront payment)</v>
      </c>
      <c r="B105" s="97">
        <f>B73</f>
        <v>9600</v>
      </c>
    </row>
    <row r="106" spans="1:2" s="34" customFormat="1" ht="18.75" customHeight="1">
      <c r="A106" s="98" t="str">
        <f t="shared" si="5"/>
        <v>Total</v>
      </c>
      <c r="B106" s="99">
        <f>B74</f>
        <v>12960</v>
      </c>
    </row>
    <row r="107" spans="1:2" s="34" customFormat="1" ht="18.75" customHeight="1">
      <c r="A107" s="51" t="str">
        <f t="shared" si="5"/>
        <v>I.e. we more than paid off our system in 3 years!</v>
      </c>
      <c r="B107" s="51"/>
    </row>
    <row r="108" s="34" customFormat="1" ht="21"/>
  </sheetData>
  <printOptions horizontalCentered="1" verticalCentered="1"/>
  <pageMargins left="0.75" right="0.75" top="0.5" bottom="0.5" header="0.5" footer="0.5"/>
  <pageSetup fitToHeight="2" fitToWidth="1" orientation="portrait" scale="60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workbookViewId="0" topLeftCell="A1">
      <selection activeCell="A18" sqref="A18"/>
    </sheetView>
  </sheetViews>
  <sheetFormatPr defaultColWidth="11.00390625" defaultRowHeight="12.75"/>
  <cols>
    <col min="1" max="1" width="72.625" style="58" customWidth="1"/>
    <col min="2" max="2" width="66.25390625" style="58" customWidth="1"/>
    <col min="3" max="16384" width="10.75390625" style="58" customWidth="1"/>
  </cols>
  <sheetData>
    <row r="1" ht="18">
      <c r="A1" s="65" t="s">
        <v>168</v>
      </c>
    </row>
    <row r="2" ht="18">
      <c r="A2" s="59" t="s">
        <v>167</v>
      </c>
    </row>
    <row r="3" ht="18">
      <c r="A3" s="59" t="s">
        <v>243</v>
      </c>
    </row>
    <row r="4" ht="18">
      <c r="A4" s="59" t="s">
        <v>246</v>
      </c>
    </row>
    <row r="5" spans="1:2" ht="18">
      <c r="A5" s="59" t="s">
        <v>235</v>
      </c>
      <c r="B5" s="58" t="s">
        <v>182</v>
      </c>
    </row>
    <row r="6" spans="1:2" ht="18">
      <c r="A6" s="59" t="s">
        <v>213</v>
      </c>
      <c r="B6" s="73" t="s">
        <v>183</v>
      </c>
    </row>
    <row r="7" spans="1:2" ht="18">
      <c r="A7" s="59" t="s">
        <v>95</v>
      </c>
      <c r="B7" s="73" t="s">
        <v>184</v>
      </c>
    </row>
    <row r="8" ht="18">
      <c r="A8" s="59" t="s">
        <v>271</v>
      </c>
    </row>
    <row r="9" ht="18">
      <c r="A9" s="59" t="s">
        <v>172</v>
      </c>
    </row>
    <row r="10" ht="18">
      <c r="A10" s="59" t="s">
        <v>173</v>
      </c>
    </row>
    <row r="11" ht="18">
      <c r="A11" s="59"/>
    </row>
    <row r="12" ht="18">
      <c r="A12" s="59" t="s">
        <v>23</v>
      </c>
    </row>
    <row r="13" ht="18">
      <c r="A13" s="59" t="s">
        <v>178</v>
      </c>
    </row>
    <row r="14" ht="18">
      <c r="A14" s="59" t="s">
        <v>179</v>
      </c>
    </row>
    <row r="15" ht="18">
      <c r="A15" s="59" t="s">
        <v>180</v>
      </c>
    </row>
    <row r="16" ht="18">
      <c r="A16" s="59" t="s">
        <v>185</v>
      </c>
    </row>
    <row r="21" spans="1:2" ht="18">
      <c r="A21" s="60" t="s">
        <v>142</v>
      </c>
      <c r="B21" s="61" t="s">
        <v>93</v>
      </c>
    </row>
    <row r="22" spans="1:2" ht="18">
      <c r="A22" s="58" t="s">
        <v>247</v>
      </c>
      <c r="B22" s="61" t="s">
        <v>187</v>
      </c>
    </row>
    <row r="24" spans="1:2" ht="18">
      <c r="A24" s="60" t="s">
        <v>189</v>
      </c>
      <c r="B24" s="61" t="s">
        <v>121</v>
      </c>
    </row>
    <row r="25" spans="1:2" ht="18">
      <c r="A25" s="60" t="s">
        <v>200</v>
      </c>
      <c r="B25" s="61" t="s">
        <v>275</v>
      </c>
    </row>
    <row r="26" spans="1:2" ht="36">
      <c r="A26" s="60" t="s">
        <v>188</v>
      </c>
      <c r="B26" s="61" t="s">
        <v>48</v>
      </c>
    </row>
    <row r="27" ht="18">
      <c r="B27" s="61" t="s">
        <v>249</v>
      </c>
    </row>
    <row r="29" ht="18">
      <c r="A29" s="64" t="s">
        <v>51</v>
      </c>
    </row>
    <row r="30" spans="1:2" ht="18">
      <c r="A30" s="58" t="s">
        <v>26</v>
      </c>
      <c r="B30" s="62" t="s">
        <v>31</v>
      </c>
    </row>
    <row r="31" ht="18">
      <c r="B31" s="63"/>
    </row>
    <row r="32" spans="1:2" ht="18">
      <c r="A32" s="58" t="s">
        <v>52</v>
      </c>
      <c r="B32" s="62" t="s">
        <v>242</v>
      </c>
    </row>
    <row r="33" spans="1:2" ht="18">
      <c r="A33" s="58" t="s">
        <v>116</v>
      </c>
      <c r="B33" s="62" t="s">
        <v>233</v>
      </c>
    </row>
    <row r="34" spans="1:2" ht="18">
      <c r="A34" s="58" t="s">
        <v>133</v>
      </c>
      <c r="B34" s="62" t="s">
        <v>65</v>
      </c>
    </row>
    <row r="35" ht="18">
      <c r="B35" s="63"/>
    </row>
    <row r="36" spans="1:2" ht="18">
      <c r="A36" s="58" t="s">
        <v>103</v>
      </c>
      <c r="B36" s="62" t="s">
        <v>104</v>
      </c>
    </row>
    <row r="37" spans="1:2" ht="18">
      <c r="A37" s="58" t="s">
        <v>127</v>
      </c>
      <c r="B37" s="62" t="s">
        <v>28</v>
      </c>
    </row>
    <row r="39" spans="1:2" ht="18">
      <c r="A39" s="63" t="s">
        <v>170</v>
      </c>
      <c r="B39" s="62" t="s">
        <v>194</v>
      </c>
    </row>
    <row r="40" spans="1:2" ht="18">
      <c r="A40" s="62" t="s">
        <v>193</v>
      </c>
      <c r="B40" s="63"/>
    </row>
    <row r="41" spans="1:2" ht="18">
      <c r="A41" s="63"/>
      <c r="B41" s="63"/>
    </row>
    <row r="42" spans="1:2" ht="18">
      <c r="A42" s="63" t="s">
        <v>92</v>
      </c>
      <c r="B42" s="62" t="s">
        <v>241</v>
      </c>
    </row>
    <row r="43" spans="1:2" ht="18">
      <c r="A43" s="63"/>
      <c r="B43" s="63"/>
    </row>
    <row r="44" ht="18">
      <c r="A44" s="58" t="s">
        <v>18</v>
      </c>
    </row>
  </sheetData>
  <hyperlinks>
    <hyperlink ref="A2" r:id="rId1" display="http://www.greensolarfinance.com/"/>
    <hyperlink ref="A3" r:id="rId2" display="http://www.findsolar.com/index.php?page=rightforme&amp;subpage=finance "/>
    <hyperlink ref="A4" r:id="rId3" display="http://www.solarcity.com/residential/purchase-options.aspx"/>
    <hyperlink ref="A6" r:id="rId4" display="http://www.cleanpowerfinance.com/solar/financing/"/>
    <hyperlink ref="A7" r:id="rId5" display="http://www.thesolarguide.com/solar-energy-systems/financing-incentives.aspx"/>
    <hyperlink ref="B21" r:id="rId6" display="http://www.dsireusa.org/incentives/index.cfm?re=1&amp;ee=1&amp;spv=0&amp;st=0&amp;srp=1&amp;state=VA"/>
    <hyperlink ref="B22" r:id="rId7" display="http://www.dsireusa.org/incentives/index.cfm?State=US&amp;ee=0&amp;re=1"/>
    <hyperlink ref="B24" r:id="rId8" display="http://www.seia.org/cs/stimulus_implementation_updates"/>
    <hyperlink ref="B25" r:id="rId9" display="http://virginia.globalsolarcenter.com/government-incentives/commercial-incentives/"/>
    <hyperlink ref="B26" r:id="rId10" display="http://www.dsireusa.org/incentives/incentive.cfm?Incentive_Code=US53F&amp;"/>
    <hyperlink ref="B27" r:id="rId11" display="http://www.getsolar.com/blog/commercial-solar-federal-grant-option/"/>
    <hyperlink ref="B30" r:id="rId12" display="http://www.nrel.gov/applying_technologies/state_local.html"/>
    <hyperlink ref="B32" r:id="rId13" display="http://www.dsireusa.org/incentives/incentive.cfm?Incentive_Code=VA08F&amp;re=1&amp;ee=1"/>
    <hyperlink ref="B33" r:id="rId14" display="http://www.dsireusa.org/incentives/incentive.cfm?Incentive_Code=VA30F&amp;re=1&amp;ee=1"/>
    <hyperlink ref="B34" r:id="rId15" display="http://www.dsireusa.org/incentives/incentive.cfm?Incentive_Code=VA14F&amp;re=1&amp;ee=1"/>
    <hyperlink ref="B36" r:id="rId16" display="http://www.epa.gov/greenpower/communities/gpcchallenge.htm"/>
    <hyperlink ref="B37" r:id="rId17" display="http://www.epa.gov/greenpower/communities/index.htm"/>
    <hyperlink ref="B39" r:id="rId18" display="http://www.dsireusa.org/incentives/incentive.cfm?Incentive_Code=US05F&amp;re=1&amp;ee=1"/>
    <hyperlink ref="A40" r:id="rId19" display="http://www.dsireusa.org/incentives/incentive.cfm?Incentive_Code=US33F&amp;re=1&amp;ee=1"/>
    <hyperlink ref="B42" r:id="rId20" display="http://www.dsireusa.org/incentives/incentive.cfm?Incentive_Code=US07F&amp;re=1&amp;ee=1"/>
    <hyperlink ref="A5" r:id="rId21" display="http://www.solarcity.com/commercial/"/>
    <hyperlink ref="A9" r:id="rId22" display="http://www.solarpanelsplus.com/solar-financing/"/>
    <hyperlink ref="B6" r:id="rId23" display="http://www.getsolar.com/profiles/Urban-Grid-Solar-Richmond-VA.php"/>
    <hyperlink ref="B7" r:id="rId24" display="http://sunflower-solar.dreamhosters.com/financial-incentive"/>
  </hyperlinks>
  <printOptions/>
  <pageMargins left="0.75" right="0.75" top="1" bottom="1" header="0.5" footer="0.5"/>
  <pageSetup fitToHeight="1" fitToWidth="1" orientation="landscape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B47" sqref="B47"/>
    </sheetView>
  </sheetViews>
  <sheetFormatPr defaultColWidth="11.00390625" defaultRowHeight="12.75"/>
  <cols>
    <col min="1" max="1" width="6.125" style="29" customWidth="1"/>
    <col min="2" max="2" width="63.375" style="4" customWidth="1"/>
  </cols>
  <sheetData>
    <row r="1" ht="12.75">
      <c r="A1" s="29" t="s">
        <v>8</v>
      </c>
    </row>
    <row r="2" ht="12.75">
      <c r="A2" s="29" t="s">
        <v>154</v>
      </c>
    </row>
    <row r="3" ht="12.75">
      <c r="B3" s="4" t="s">
        <v>214</v>
      </c>
    </row>
    <row r="4" ht="12.75">
      <c r="B4" s="4" t="s">
        <v>215</v>
      </c>
    </row>
    <row r="5" ht="12.75">
      <c r="B5" s="4" t="s">
        <v>134</v>
      </c>
    </row>
    <row r="8" ht="12.75">
      <c r="A8" s="29" t="s">
        <v>155</v>
      </c>
    </row>
    <row r="9" ht="12.75">
      <c r="B9" s="4" t="s">
        <v>125</v>
      </c>
    </row>
    <row r="10" ht="12.75">
      <c r="B10" s="4" t="s">
        <v>136</v>
      </c>
    </row>
    <row r="11" ht="12.75">
      <c r="B11" s="4" t="s">
        <v>137</v>
      </c>
    </row>
    <row r="12" ht="12.75">
      <c r="B12" s="4" t="s">
        <v>138</v>
      </c>
    </row>
    <row r="13" ht="12.75">
      <c r="B13" s="4" t="s">
        <v>100</v>
      </c>
    </row>
    <row r="14" ht="12.75">
      <c r="B14" s="4" t="s">
        <v>256</v>
      </c>
    </row>
    <row r="15" ht="12.75">
      <c r="B15" s="4" t="s">
        <v>237</v>
      </c>
    </row>
    <row r="16" ht="12.75">
      <c r="B16" s="4" t="s">
        <v>122</v>
      </c>
    </row>
    <row r="18" ht="12.75">
      <c r="A18" s="29" t="s">
        <v>156</v>
      </c>
    </row>
    <row r="19" ht="12.75">
      <c r="B19" s="4" t="s">
        <v>190</v>
      </c>
    </row>
    <row r="20" ht="12.75">
      <c r="B20" s="4" t="s">
        <v>191</v>
      </c>
    </row>
    <row r="21" ht="25.5">
      <c r="B21" s="4" t="s">
        <v>250</v>
      </c>
    </row>
    <row r="22" ht="12.75">
      <c r="B22" s="4" t="s">
        <v>192</v>
      </c>
    </row>
    <row r="23" ht="12.75">
      <c r="B23" s="4" t="s">
        <v>99</v>
      </c>
    </row>
    <row r="24" ht="12.75">
      <c r="B24" s="4" t="s">
        <v>123</v>
      </c>
    </row>
    <row r="25" ht="12.75">
      <c r="B25" s="4" t="s">
        <v>269</v>
      </c>
    </row>
    <row r="26" ht="12.75">
      <c r="B26" s="4" t="s">
        <v>234</v>
      </c>
    </row>
    <row r="27" ht="12.75">
      <c r="B27" s="4" t="s">
        <v>270</v>
      </c>
    </row>
    <row r="29" ht="25.5">
      <c r="B29" s="4" t="s">
        <v>110</v>
      </c>
    </row>
    <row r="30" ht="12.75">
      <c r="B30" s="4" t="s">
        <v>94</v>
      </c>
    </row>
    <row r="31" ht="25.5">
      <c r="B31" s="4" t="s">
        <v>152</v>
      </c>
    </row>
    <row r="32" ht="12.75">
      <c r="B32" s="4" t="s">
        <v>218</v>
      </c>
    </row>
    <row r="33" ht="12.75">
      <c r="B33" s="4" t="s">
        <v>227</v>
      </c>
    </row>
    <row r="34" ht="12.75">
      <c r="B34" s="4" t="s">
        <v>236</v>
      </c>
    </row>
    <row r="36" ht="12.75">
      <c r="A36" s="29" t="s">
        <v>143</v>
      </c>
    </row>
    <row r="37" ht="12.75">
      <c r="B37" s="4" t="s">
        <v>74</v>
      </c>
    </row>
    <row r="38" ht="12.75">
      <c r="B38" s="4" t="s">
        <v>77</v>
      </c>
    </row>
    <row r="39" ht="12.75">
      <c r="B39" s="4" t="s">
        <v>219</v>
      </c>
    </row>
    <row r="40" ht="12.75">
      <c r="B40" s="4" t="s">
        <v>149</v>
      </c>
    </row>
    <row r="42" ht="12.75">
      <c r="A42" s="71" t="s">
        <v>157</v>
      </c>
    </row>
    <row r="43" ht="12.75">
      <c r="B43" s="4" t="s">
        <v>220</v>
      </c>
    </row>
    <row r="44" ht="12.75">
      <c r="B44" s="4" t="s">
        <v>221</v>
      </c>
    </row>
    <row r="45" ht="12.75">
      <c r="B45" s="4" t="s">
        <v>222</v>
      </c>
    </row>
    <row r="46" ht="12.75">
      <c r="B46" s="4" t="s">
        <v>216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Zeros="0" workbookViewId="0" topLeftCell="A1">
      <selection activeCell="D23" sqref="D23"/>
    </sheetView>
  </sheetViews>
  <sheetFormatPr defaultColWidth="11.00390625" defaultRowHeight="12.75"/>
  <cols>
    <col min="8" max="8" width="30.125" style="0" customWidth="1"/>
  </cols>
  <sheetData>
    <row r="1" spans="1:9" s="9" customFormat="1" ht="64.5">
      <c r="A1" s="9" t="s">
        <v>106</v>
      </c>
      <c r="B1" s="9" t="s">
        <v>225</v>
      </c>
      <c r="C1" s="9" t="s">
        <v>226</v>
      </c>
      <c r="D1" s="9" t="s">
        <v>210</v>
      </c>
      <c r="E1" s="1" t="s">
        <v>199</v>
      </c>
      <c r="F1" s="1" t="s">
        <v>176</v>
      </c>
      <c r="G1" s="1" t="s">
        <v>21</v>
      </c>
      <c r="I1" s="9" t="s">
        <v>33</v>
      </c>
    </row>
    <row r="2" spans="1:10" ht="12.75">
      <c r="A2" s="7">
        <v>38420</v>
      </c>
      <c r="C2">
        <v>0.8</v>
      </c>
      <c r="H2" t="s">
        <v>177</v>
      </c>
      <c r="I2" s="10">
        <v>0.13</v>
      </c>
      <c r="J2" t="s">
        <v>32</v>
      </c>
    </row>
    <row r="3" spans="1:8" ht="12.75">
      <c r="A3" s="7">
        <v>38421</v>
      </c>
      <c r="B3">
        <v>2000</v>
      </c>
      <c r="C3">
        <v>11.9</v>
      </c>
      <c r="H3" t="s">
        <v>105</v>
      </c>
    </row>
    <row r="4" spans="1:9" ht="12.75">
      <c r="A4" s="7">
        <v>38422</v>
      </c>
      <c r="C4">
        <v>17</v>
      </c>
      <c r="E4" s="2"/>
      <c r="F4" s="2"/>
      <c r="G4" s="2"/>
      <c r="H4" t="s">
        <v>105</v>
      </c>
      <c r="I4" t="s">
        <v>120</v>
      </c>
    </row>
    <row r="5" spans="1:9" ht="12.75">
      <c r="A5" s="7">
        <v>38423</v>
      </c>
      <c r="C5">
        <v>18</v>
      </c>
      <c r="E5" s="11">
        <f>(C5/(A5-$A$2)*365/1000)*'Solar hot water log'!$O$2</f>
        <v>635.1</v>
      </c>
      <c r="F5" s="11">
        <f>(C5*$I$2/($A5-$A$2))*365</f>
        <v>284.7</v>
      </c>
      <c r="G5" s="11">
        <f>E5+F5</f>
        <v>919.8</v>
      </c>
      <c r="H5" t="s">
        <v>105</v>
      </c>
      <c r="I5" s="68">
        <f>MAX(C2:C47)*I2</f>
        <v>2768.7400000000002</v>
      </c>
    </row>
    <row r="6" spans="1:8" ht="12.75">
      <c r="A6" s="7">
        <v>38427</v>
      </c>
      <c r="C6">
        <v>28</v>
      </c>
      <c r="E6" s="11">
        <f>(C6/(A6-$A$2)*365/1000)*'Solar hot water log'!$O$2</f>
        <v>423.4</v>
      </c>
      <c r="F6" s="11">
        <f aca="true" t="shared" si="0" ref="F6:F47">(C6*$I$2/($A6-$A$2))*365</f>
        <v>189.8</v>
      </c>
      <c r="G6" s="11">
        <f aca="true" t="shared" si="1" ref="G6:G47">E6+F6</f>
        <v>613.2</v>
      </c>
      <c r="H6" t="s">
        <v>105</v>
      </c>
    </row>
    <row r="7" spans="1:8" ht="12.75">
      <c r="A7" s="7">
        <v>38428</v>
      </c>
      <c r="C7">
        <v>46</v>
      </c>
      <c r="E7" s="11">
        <f>(C7/(A7-$A$2)*365/1000)*'Solar hot water log'!$O$2</f>
        <v>608.6374999999999</v>
      </c>
      <c r="F7" s="11">
        <f t="shared" si="0"/>
        <v>272.83750000000003</v>
      </c>
      <c r="G7" s="11">
        <f t="shared" si="1"/>
        <v>881.4749999999999</v>
      </c>
      <c r="H7" t="s">
        <v>67</v>
      </c>
    </row>
    <row r="8" spans="1:7" ht="12.75">
      <c r="A8" s="7">
        <v>38436</v>
      </c>
      <c r="C8">
        <v>180</v>
      </c>
      <c r="E8" s="11">
        <f>(C8/(A8-$A$2)*365/1000)*'Solar hot water log'!$O$2</f>
        <v>1190.8125</v>
      </c>
      <c r="F8" s="11">
        <f t="shared" si="0"/>
        <v>533.8125</v>
      </c>
      <c r="G8" s="11">
        <f t="shared" si="1"/>
        <v>1724.625</v>
      </c>
    </row>
    <row r="9" spans="1:9" ht="12.75">
      <c r="A9" s="7">
        <v>38491</v>
      </c>
      <c r="B9">
        <v>2973</v>
      </c>
      <c r="C9">
        <v>872</v>
      </c>
      <c r="D9" s="6">
        <f>(C9/(A9-$A$2)*365)</f>
        <v>4482.816901408451</v>
      </c>
      <c r="E9" s="11">
        <f>(C9/(A9-$A$2)*365/1000)*'Solar hot water log'!$O$2</f>
        <v>1300.0169014084506</v>
      </c>
      <c r="F9" s="11">
        <f t="shared" si="0"/>
        <v>582.7661971830986</v>
      </c>
      <c r="G9" s="11">
        <f t="shared" si="1"/>
        <v>1882.7830985915493</v>
      </c>
      <c r="I9" t="s">
        <v>211</v>
      </c>
    </row>
    <row r="10" spans="1:9" ht="12.75">
      <c r="A10" s="7">
        <v>38578</v>
      </c>
      <c r="B10">
        <v>3000</v>
      </c>
      <c r="C10">
        <v>2010</v>
      </c>
      <c r="D10" s="6">
        <f aca="true" t="shared" si="2" ref="D10:D16">(C10/(A10-$A$2)*365)</f>
        <v>4643.354430379747</v>
      </c>
      <c r="E10" s="11">
        <f>(C10/(A10-$A$2)*365/1000)*'Solar hot water log'!$O$2</f>
        <v>1346.5727848101267</v>
      </c>
      <c r="F10" s="11">
        <f t="shared" si="0"/>
        <v>603.6360759493672</v>
      </c>
      <c r="G10" s="11">
        <f t="shared" si="1"/>
        <v>1950.2088607594937</v>
      </c>
      <c r="I10" s="69">
        <f>16*215*4.6*0.96*365/1000</f>
        <v>5544.729599999999</v>
      </c>
    </row>
    <row r="11" spans="1:7" ht="12.75">
      <c r="A11" s="7">
        <v>38625</v>
      </c>
      <c r="B11">
        <v>3000</v>
      </c>
      <c r="C11">
        <v>2569</v>
      </c>
      <c r="D11" s="6">
        <f t="shared" si="2"/>
        <v>4574.073170731707</v>
      </c>
      <c r="E11" s="11">
        <f>(C11/(A11-$A$2)*365/1000)*'Solar hot water log'!$O$2</f>
        <v>1326.4812195121951</v>
      </c>
      <c r="F11" s="11">
        <f t="shared" si="0"/>
        <v>594.629512195122</v>
      </c>
      <c r="G11" s="11">
        <f t="shared" si="1"/>
        <v>1921.110731707317</v>
      </c>
    </row>
    <row r="12" spans="1:7" ht="12.75">
      <c r="A12" s="7">
        <v>38696</v>
      </c>
      <c r="B12">
        <v>3000</v>
      </c>
      <c r="C12">
        <v>3036</v>
      </c>
      <c r="D12" s="6">
        <f t="shared" si="2"/>
        <v>4015</v>
      </c>
      <c r="E12" s="11">
        <f>(C12/(A12-$A$2)*365/1000)*'Solar hot water log'!$O$2</f>
        <v>1164.35</v>
      </c>
      <c r="F12" s="11">
        <f t="shared" si="0"/>
        <v>521.9499999999999</v>
      </c>
      <c r="G12" s="11">
        <f t="shared" si="1"/>
        <v>1686.2999999999997</v>
      </c>
    </row>
    <row r="13" spans="1:9" ht="12.75">
      <c r="A13" s="7">
        <v>38785</v>
      </c>
      <c r="B13">
        <v>3000</v>
      </c>
      <c r="C13">
        <v>3670</v>
      </c>
      <c r="D13" s="6">
        <f t="shared" si="2"/>
        <v>3670</v>
      </c>
      <c r="E13" s="11">
        <f>(C13/(A13-$A$2)*365/1000)*'Solar hot water log'!$O$2</f>
        <v>1064.3</v>
      </c>
      <c r="F13" s="11">
        <f t="shared" si="0"/>
        <v>477.1</v>
      </c>
      <c r="G13" s="11">
        <f t="shared" si="1"/>
        <v>1541.4</v>
      </c>
      <c r="I13" t="s">
        <v>141</v>
      </c>
    </row>
    <row r="14" spans="1:9" ht="12.75">
      <c r="A14" s="7">
        <v>39131</v>
      </c>
      <c r="B14">
        <v>3000</v>
      </c>
      <c r="C14">
        <v>7461</v>
      </c>
      <c r="D14" s="6">
        <f t="shared" si="2"/>
        <v>3830.1898734177216</v>
      </c>
      <c r="E14" s="11">
        <f>(C14/(A14-$A$2)*365/1000)*'Solar hot water log'!$O$2</f>
        <v>1110.7550632911393</v>
      </c>
      <c r="F14" s="11">
        <f t="shared" si="0"/>
        <v>497.92468354430383</v>
      </c>
      <c r="G14" s="11">
        <f t="shared" si="1"/>
        <v>1608.6797468354432</v>
      </c>
      <c r="I14" s="69">
        <f>16*215*5.5*0.96*365/1000</f>
        <v>6629.568</v>
      </c>
    </row>
    <row r="15" spans="1:14" ht="12.75">
      <c r="A15" s="7">
        <v>39156</v>
      </c>
      <c r="B15">
        <v>3000</v>
      </c>
      <c r="C15">
        <v>7729</v>
      </c>
      <c r="D15" s="6">
        <f t="shared" si="2"/>
        <v>3832.9959239130435</v>
      </c>
      <c r="E15" s="11">
        <f>(C15/(A15-$A$2)*365/1000)*'Solar hot water log'!$O$2</f>
        <v>1111.5688179347826</v>
      </c>
      <c r="F15" s="11">
        <f t="shared" si="0"/>
        <v>498.28947010869564</v>
      </c>
      <c r="G15" s="11">
        <f t="shared" si="1"/>
        <v>1609.8582880434783</v>
      </c>
      <c r="N15" t="s">
        <v>203</v>
      </c>
    </row>
    <row r="16" spans="1:14" ht="12.75">
      <c r="A16" s="7">
        <v>39283</v>
      </c>
      <c r="B16">
        <v>3000</v>
      </c>
      <c r="C16">
        <v>9455</v>
      </c>
      <c r="D16" s="6">
        <f t="shared" si="2"/>
        <v>3998.928157589803</v>
      </c>
      <c r="E16" s="11">
        <f>(C16/(A16-$A$2)*365/1000)*'Solar hot water log'!$O$2</f>
        <v>1159.6891657010428</v>
      </c>
      <c r="F16" s="11">
        <f t="shared" si="0"/>
        <v>519.8606604866744</v>
      </c>
      <c r="G16" s="11">
        <f t="shared" si="1"/>
        <v>1679.5498261877174</v>
      </c>
      <c r="J16" t="s">
        <v>283</v>
      </c>
      <c r="K16" t="s">
        <v>284</v>
      </c>
      <c r="L16" t="s">
        <v>285</v>
      </c>
      <c r="N16" s="100">
        <f>4000/3</f>
        <v>1333.3333333333333</v>
      </c>
    </row>
    <row r="17" spans="5:7" ht="12.75">
      <c r="E17" s="11">
        <f>(C17/(A17-$A$2)*365/1000)*'Solar hot water log'!$O$2</f>
        <v>0</v>
      </c>
      <c r="F17" s="11">
        <f t="shared" si="0"/>
        <v>0</v>
      </c>
      <c r="G17" s="11">
        <f t="shared" si="1"/>
        <v>0</v>
      </c>
    </row>
    <row r="18" spans="1:7" ht="12.75">
      <c r="A18" s="7">
        <v>39444</v>
      </c>
      <c r="B18" t="s">
        <v>108</v>
      </c>
      <c r="E18" s="11">
        <f>(C18/(A18-$A$2)*365/1000)*'Solar hot water log'!$O$2</f>
        <v>0</v>
      </c>
      <c r="F18" s="11">
        <f t="shared" si="0"/>
        <v>0</v>
      </c>
      <c r="G18" s="11">
        <f t="shared" si="1"/>
        <v>0</v>
      </c>
    </row>
    <row r="19" spans="1:7" ht="12.75">
      <c r="A19" s="7">
        <v>39475</v>
      </c>
      <c r="B19" t="s">
        <v>109</v>
      </c>
      <c r="E19" s="32"/>
      <c r="F19" s="32">
        <f t="shared" si="0"/>
        <v>0</v>
      </c>
      <c r="G19" s="32"/>
    </row>
    <row r="20" spans="1:8" ht="12.75">
      <c r="A20" s="7">
        <v>39496</v>
      </c>
      <c r="B20">
        <v>3600</v>
      </c>
      <c r="C20" s="81">
        <v>11325</v>
      </c>
      <c r="D20" s="6">
        <f>(C20/(A20-$A$2)*365)</f>
        <v>3841.6589219330854</v>
      </c>
      <c r="E20" s="11">
        <f>(C20/(A20-$A$2)*365/1000)*'Solar hot water log'!$O$2</f>
        <v>1114.0810873605947</v>
      </c>
      <c r="F20" s="11">
        <f t="shared" si="0"/>
        <v>499.41565985130114</v>
      </c>
      <c r="G20" s="11">
        <f t="shared" si="1"/>
        <v>1613.4967472118958</v>
      </c>
      <c r="H20" t="s">
        <v>259</v>
      </c>
    </row>
    <row r="21" spans="1:7" ht="12.75">
      <c r="A21" s="7">
        <v>39518</v>
      </c>
      <c r="B21">
        <v>3900</v>
      </c>
      <c r="C21" s="81">
        <v>11642</v>
      </c>
      <c r="D21" s="6">
        <f>(C21/(A21-$A$2)*365)</f>
        <v>3870.063752276867</v>
      </c>
      <c r="E21" s="11">
        <f>(C21/(A21-$A$2)*365/1000)*'Solar hot water log'!$O$2</f>
        <v>1122.3184881602915</v>
      </c>
      <c r="F21" s="11">
        <f t="shared" si="0"/>
        <v>503.1082877959927</v>
      </c>
      <c r="G21" s="11">
        <f t="shared" si="1"/>
        <v>1625.4267759562842</v>
      </c>
    </row>
    <row r="22" spans="1:14" ht="12.75">
      <c r="A22" s="7">
        <v>39883</v>
      </c>
      <c r="B22">
        <v>3900</v>
      </c>
      <c r="C22" s="81">
        <v>16564</v>
      </c>
      <c r="D22" s="6">
        <f>(C22/(A22-$A$2)*365)</f>
        <v>4132.508544087492</v>
      </c>
      <c r="E22" s="11">
        <f>(C22/(A22-$A$2)*365/1000)*'Solar hot water log'!$O$2</f>
        <v>1198.4274777853727</v>
      </c>
      <c r="F22" s="11">
        <f t="shared" si="0"/>
        <v>537.226110731374</v>
      </c>
      <c r="G22" s="11">
        <f t="shared" si="1"/>
        <v>1735.6535885167468</v>
      </c>
      <c r="I22" s="81">
        <f>(C22-C20)/(A22-A20)*365</f>
        <v>4941.175710594315</v>
      </c>
      <c r="J22" t="s">
        <v>286</v>
      </c>
      <c r="K22" t="s">
        <v>284</v>
      </c>
      <c r="L22" t="s">
        <v>202</v>
      </c>
      <c r="N22">
        <f>4900/4</f>
        <v>1225</v>
      </c>
    </row>
    <row r="23" spans="1:7" ht="12.75">
      <c r="A23" s="7">
        <v>40249</v>
      </c>
      <c r="B23">
        <v>4000</v>
      </c>
      <c r="C23" s="81">
        <v>21298</v>
      </c>
      <c r="D23" s="100">
        <f>(C23/(A23-$A$2)*365)</f>
        <v>4250.284308365227</v>
      </c>
      <c r="E23" s="11">
        <f>(C23/(A23-$A$2)*365/1000)*'Solar hot water log'!$O$2</f>
        <v>1232.582449425916</v>
      </c>
      <c r="F23" s="11">
        <f t="shared" si="0"/>
        <v>552.5369600874795</v>
      </c>
      <c r="G23" s="11">
        <f t="shared" si="1"/>
        <v>1785.1194095133956</v>
      </c>
    </row>
    <row r="24" spans="3:7" ht="12.75">
      <c r="C24" s="81"/>
      <c r="E24" s="11">
        <f>(C24/(A24-$A$2)*365/1000)*'Solar hot water log'!$O$2</f>
        <v>0</v>
      </c>
      <c r="F24" s="11">
        <f t="shared" si="0"/>
        <v>0</v>
      </c>
      <c r="G24" s="11">
        <f t="shared" si="1"/>
        <v>0</v>
      </c>
    </row>
    <row r="25" spans="3:7" ht="12.75">
      <c r="C25" s="81"/>
      <c r="E25" s="11">
        <f>(C25/(A25-$A$2)*365/1000)*'Solar hot water log'!$O$2</f>
        <v>0</v>
      </c>
      <c r="F25" s="11">
        <f t="shared" si="0"/>
        <v>0</v>
      </c>
      <c r="G25" s="11">
        <f t="shared" si="1"/>
        <v>0</v>
      </c>
    </row>
    <row r="26" spans="3:7" ht="12.75">
      <c r="C26" s="81"/>
      <c r="E26" s="11">
        <f>(C26/(A26-$A$2)*365/1000)*'Solar hot water log'!$O$2</f>
        <v>0</v>
      </c>
      <c r="F26" s="11">
        <f t="shared" si="0"/>
        <v>0</v>
      </c>
      <c r="G26" s="11">
        <f t="shared" si="1"/>
        <v>0</v>
      </c>
    </row>
    <row r="27" spans="3:7" ht="12.75">
      <c r="C27" s="81"/>
      <c r="E27" s="11">
        <f>(C27/(A27-$A$2)*365/1000)*'Solar hot water log'!$O$2</f>
        <v>0</v>
      </c>
      <c r="F27" s="11">
        <f t="shared" si="0"/>
        <v>0</v>
      </c>
      <c r="G27" s="11">
        <f t="shared" si="1"/>
        <v>0</v>
      </c>
    </row>
    <row r="28" spans="3:7" ht="12.75">
      <c r="C28" s="81"/>
      <c r="E28" s="11">
        <f>(C28/(A28-$A$2)*365/1000)*'Solar hot water log'!$O$2</f>
        <v>0</v>
      </c>
      <c r="F28" s="11">
        <f t="shared" si="0"/>
        <v>0</v>
      </c>
      <c r="G28" s="11">
        <f t="shared" si="1"/>
        <v>0</v>
      </c>
    </row>
    <row r="29" spans="3:7" ht="12.75">
      <c r="C29" s="81"/>
      <c r="E29" s="11">
        <f>(C29/(A29-$A$2)*365/1000)*'Solar hot water log'!$O$2</f>
        <v>0</v>
      </c>
      <c r="F29" s="11">
        <f t="shared" si="0"/>
        <v>0</v>
      </c>
      <c r="G29" s="11">
        <f t="shared" si="1"/>
        <v>0</v>
      </c>
    </row>
    <row r="30" spans="3:7" ht="12.75">
      <c r="C30" s="81"/>
      <c r="E30" s="11">
        <f>(C30/(A30-$A$2)*365/1000)*'Solar hot water log'!$O$2</f>
        <v>0</v>
      </c>
      <c r="F30" s="11">
        <f t="shared" si="0"/>
        <v>0</v>
      </c>
      <c r="G30" s="11">
        <f t="shared" si="1"/>
        <v>0</v>
      </c>
    </row>
    <row r="31" spans="5:7" ht="12.75">
      <c r="E31" s="11">
        <f>(C31/(A31-$A$2)*365/1000)*'Solar hot water log'!$O$2</f>
        <v>0</v>
      </c>
      <c r="F31" s="11">
        <f t="shared" si="0"/>
        <v>0</v>
      </c>
      <c r="G31" s="11">
        <f t="shared" si="1"/>
        <v>0</v>
      </c>
    </row>
    <row r="32" spans="5:7" ht="12.75">
      <c r="E32" s="11">
        <f>(C32/(A32-$A$2)*365/1000)*'Solar hot water log'!$O$2</f>
        <v>0</v>
      </c>
      <c r="F32" s="11">
        <f t="shared" si="0"/>
        <v>0</v>
      </c>
      <c r="G32" s="11">
        <f t="shared" si="1"/>
        <v>0</v>
      </c>
    </row>
    <row r="33" spans="5:7" ht="12.75">
      <c r="E33" s="11">
        <f>(C33/(A33-$A$2)*365/1000)*'Solar hot water log'!$O$2</f>
        <v>0</v>
      </c>
      <c r="F33" s="11">
        <f t="shared" si="0"/>
        <v>0</v>
      </c>
      <c r="G33" s="11">
        <f t="shared" si="1"/>
        <v>0</v>
      </c>
    </row>
    <row r="34" spans="5:7" ht="12.75">
      <c r="E34" s="11">
        <f>(C34/(A34-$A$2)*365/1000)*'Solar hot water log'!$O$2</f>
        <v>0</v>
      </c>
      <c r="F34" s="11">
        <f t="shared" si="0"/>
        <v>0</v>
      </c>
      <c r="G34" s="11">
        <f t="shared" si="1"/>
        <v>0</v>
      </c>
    </row>
    <row r="35" spans="5:7" ht="12.75">
      <c r="E35" s="11">
        <f>(C35/(A35-$A$2)*365/1000)*'Solar hot water log'!$O$2</f>
        <v>0</v>
      </c>
      <c r="F35" s="11">
        <f t="shared" si="0"/>
        <v>0</v>
      </c>
      <c r="G35" s="11">
        <f t="shared" si="1"/>
        <v>0</v>
      </c>
    </row>
    <row r="36" spans="5:7" ht="12.75">
      <c r="E36" s="11">
        <f>(C36/(A36-$A$2)*365/1000)*'Solar hot water log'!$O$2</f>
        <v>0</v>
      </c>
      <c r="F36" s="11">
        <f t="shared" si="0"/>
        <v>0</v>
      </c>
      <c r="G36" s="11">
        <f t="shared" si="1"/>
        <v>0</v>
      </c>
    </row>
    <row r="37" spans="5:7" ht="12.75">
      <c r="E37" s="11">
        <f>(C37/(A37-$A$2)*365/1000)*'Solar hot water log'!$O$2</f>
        <v>0</v>
      </c>
      <c r="F37" s="11">
        <f t="shared" si="0"/>
        <v>0</v>
      </c>
      <c r="G37" s="11">
        <f t="shared" si="1"/>
        <v>0</v>
      </c>
    </row>
    <row r="38" spans="5:7" ht="12.75">
      <c r="E38" s="11">
        <f>(C38/(A38-$A$2)*365/1000)*'Solar hot water log'!$O$2</f>
        <v>0</v>
      </c>
      <c r="F38" s="11">
        <f t="shared" si="0"/>
        <v>0</v>
      </c>
      <c r="G38" s="11">
        <f t="shared" si="1"/>
        <v>0</v>
      </c>
    </row>
    <row r="39" spans="5:7" ht="12.75">
      <c r="E39" s="11">
        <f>(C39/(A39-$A$2)*365/1000)*'Solar hot water log'!$O$2</f>
        <v>0</v>
      </c>
      <c r="F39" s="11">
        <f t="shared" si="0"/>
        <v>0</v>
      </c>
      <c r="G39" s="11">
        <f t="shared" si="1"/>
        <v>0</v>
      </c>
    </row>
    <row r="40" spans="5:7" ht="12.75">
      <c r="E40" s="11">
        <f>(C40/(A40-$A$2)*365/1000)*'Solar hot water log'!$O$2</f>
        <v>0</v>
      </c>
      <c r="F40" s="11">
        <f t="shared" si="0"/>
        <v>0</v>
      </c>
      <c r="G40" s="11">
        <f t="shared" si="1"/>
        <v>0</v>
      </c>
    </row>
    <row r="41" spans="5:7" ht="12.75">
      <c r="E41" s="11">
        <f>(C41/(A41-$A$2)*365/1000)*'Solar hot water log'!$O$2</f>
        <v>0</v>
      </c>
      <c r="F41" s="11">
        <f t="shared" si="0"/>
        <v>0</v>
      </c>
      <c r="G41" s="11">
        <f t="shared" si="1"/>
        <v>0</v>
      </c>
    </row>
    <row r="42" spans="5:7" ht="12.75">
      <c r="E42" s="11">
        <f>(C42/(A42-$A$2)*365/1000)*'Solar hot water log'!$O$2</f>
        <v>0</v>
      </c>
      <c r="F42" s="11">
        <f t="shared" si="0"/>
        <v>0</v>
      </c>
      <c r="G42" s="11">
        <f t="shared" si="1"/>
        <v>0</v>
      </c>
    </row>
    <row r="43" spans="5:7" ht="12.75">
      <c r="E43" s="11">
        <f>(C43/(A43-$A$2)*365/1000)*'Solar hot water log'!$O$2</f>
        <v>0</v>
      </c>
      <c r="F43" s="11">
        <f t="shared" si="0"/>
        <v>0</v>
      </c>
      <c r="G43" s="11">
        <f t="shared" si="1"/>
        <v>0</v>
      </c>
    </row>
    <row r="44" spans="5:7" ht="12.75">
      <c r="E44" s="11">
        <f>(C44/(A44-$A$2)*365/1000)*'Solar hot water log'!$O$2</f>
        <v>0</v>
      </c>
      <c r="F44" s="11">
        <f t="shared" si="0"/>
        <v>0</v>
      </c>
      <c r="G44" s="11">
        <f t="shared" si="1"/>
        <v>0</v>
      </c>
    </row>
    <row r="45" spans="5:7" ht="12.75">
      <c r="E45" s="11">
        <f>(C45/(A45-$A$2)*365/1000)*'Solar hot water log'!$O$2</f>
        <v>0</v>
      </c>
      <c r="F45" s="11">
        <f t="shared" si="0"/>
        <v>0</v>
      </c>
      <c r="G45" s="11">
        <f t="shared" si="1"/>
        <v>0</v>
      </c>
    </row>
    <row r="46" spans="5:7" ht="12.75">
      <c r="E46" s="11">
        <f>(C46/(A46-$A$2)*365/1000)*'Solar hot water log'!$O$2</f>
        <v>0</v>
      </c>
      <c r="F46" s="11">
        <f t="shared" si="0"/>
        <v>0</v>
      </c>
      <c r="G46" s="11">
        <f t="shared" si="1"/>
        <v>0</v>
      </c>
    </row>
    <row r="47" spans="5:7" ht="12.75">
      <c r="E47" s="11">
        <f>(C47/(A47-$A$2)*365/1000)*'Solar hot water log'!$O$2</f>
        <v>0</v>
      </c>
      <c r="F47" s="11">
        <f t="shared" si="0"/>
        <v>0</v>
      </c>
      <c r="G47" s="11">
        <f t="shared" si="1"/>
        <v>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16" sqref="A16"/>
    </sheetView>
  </sheetViews>
  <sheetFormatPr defaultColWidth="11.00390625" defaultRowHeight="12.75"/>
  <sheetData>
    <row r="1" spans="1:2" s="8" customFormat="1" ht="12.75">
      <c r="A1" s="8" t="s">
        <v>112</v>
      </c>
      <c r="B1" s="8" t="s">
        <v>113</v>
      </c>
    </row>
    <row r="2" spans="1:3" ht="12.75">
      <c r="A2" s="7">
        <v>38419</v>
      </c>
      <c r="C2" t="s">
        <v>111</v>
      </c>
    </row>
    <row r="3" spans="1:2" ht="12.75">
      <c r="A3" s="7">
        <v>38420</v>
      </c>
      <c r="B3">
        <v>100</v>
      </c>
    </row>
    <row r="4" spans="1:2" ht="12.75">
      <c r="A4" s="7">
        <v>38421</v>
      </c>
      <c r="B4">
        <v>250</v>
      </c>
    </row>
    <row r="5" spans="1:2" ht="12.75">
      <c r="A5" s="7">
        <v>38423</v>
      </c>
      <c r="B5">
        <v>304</v>
      </c>
    </row>
    <row r="6" spans="1:2" ht="12.75">
      <c r="A6" s="7">
        <v>38427</v>
      </c>
      <c r="B6">
        <v>353</v>
      </c>
    </row>
    <row r="7" spans="1:2" ht="12.75">
      <c r="A7" s="7">
        <v>38458</v>
      </c>
      <c r="B7">
        <v>425</v>
      </c>
    </row>
    <row r="8" spans="1:2" ht="12.75">
      <c r="A8" s="7">
        <v>38490</v>
      </c>
      <c r="B8">
        <v>500</v>
      </c>
    </row>
    <row r="9" spans="1:2" ht="12.75">
      <c r="A9" s="7">
        <v>38578</v>
      </c>
      <c r="B9">
        <v>725</v>
      </c>
    </row>
    <row r="10" spans="1:2" ht="12.75">
      <c r="A10" s="7">
        <v>38633</v>
      </c>
      <c r="B10">
        <v>997</v>
      </c>
    </row>
    <row r="11" spans="1:2" ht="12.75">
      <c r="A11" s="7">
        <v>38639</v>
      </c>
      <c r="B11">
        <v>1016</v>
      </c>
    </row>
    <row r="12" spans="1:2" ht="12.75">
      <c r="A12" s="7">
        <v>38674</v>
      </c>
      <c r="B12">
        <v>1166</v>
      </c>
    </row>
    <row r="13" spans="1:2" ht="12.75">
      <c r="A13" s="7">
        <v>38696</v>
      </c>
      <c r="B13">
        <v>1249</v>
      </c>
    </row>
    <row r="14" spans="1:2" ht="12.75">
      <c r="A14" s="7">
        <v>38977</v>
      </c>
      <c r="B14">
        <v>2074</v>
      </c>
    </row>
    <row r="15" spans="1:2" ht="12.75">
      <c r="A15" s="7">
        <v>39394</v>
      </c>
      <c r="B15">
        <v>3527</v>
      </c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K6" sqref="K6"/>
    </sheetView>
  </sheetViews>
  <sheetFormatPr defaultColWidth="11.00390625" defaultRowHeight="12.75"/>
  <sheetData>
    <row r="1" spans="1:12" s="4" customFormat="1" ht="51.75">
      <c r="A1" s="14" t="s">
        <v>244</v>
      </c>
      <c r="B1" s="15" t="s">
        <v>118</v>
      </c>
      <c r="C1" s="15" t="s">
        <v>245</v>
      </c>
      <c r="D1" s="15" t="s">
        <v>186</v>
      </c>
      <c r="E1" s="15" t="s">
        <v>79</v>
      </c>
      <c r="F1" s="15" t="s">
        <v>267</v>
      </c>
      <c r="G1" s="4" t="s">
        <v>229</v>
      </c>
      <c r="I1" s="4" t="s">
        <v>85</v>
      </c>
      <c r="K1" s="12">
        <f>AVERAGE(B2:B13)</f>
        <v>1297.1666666666667</v>
      </c>
      <c r="L1" t="s">
        <v>228</v>
      </c>
    </row>
    <row r="2" spans="1:10" ht="12.75">
      <c r="A2" s="13">
        <v>37993</v>
      </c>
      <c r="B2">
        <v>1349</v>
      </c>
      <c r="C2" s="16">
        <v>181.3</v>
      </c>
      <c r="E2" t="s">
        <v>166</v>
      </c>
      <c r="I2" s="17">
        <f>C2/B2</f>
        <v>0.13439584877687177</v>
      </c>
      <c r="J2" s="7"/>
    </row>
    <row r="3" spans="1:10" ht="12.75">
      <c r="A3" s="13">
        <v>38024</v>
      </c>
      <c r="B3">
        <v>1263</v>
      </c>
      <c r="C3" s="16">
        <v>194.51</v>
      </c>
      <c r="I3" s="17">
        <f aca="true" t="shared" si="0" ref="I3:I31">C3/B3</f>
        <v>0.15400633412509895</v>
      </c>
      <c r="J3" s="7"/>
    </row>
    <row r="4" spans="1:10" ht="12.75">
      <c r="A4" s="13">
        <v>38053</v>
      </c>
      <c r="B4">
        <v>997</v>
      </c>
      <c r="C4" s="16">
        <v>183.28</v>
      </c>
      <c r="I4" s="17">
        <f t="shared" si="0"/>
        <v>0.18383149448345035</v>
      </c>
      <c r="J4" s="7"/>
    </row>
    <row r="5" spans="1:12" ht="12.75">
      <c r="A5" s="13">
        <v>38084</v>
      </c>
      <c r="B5">
        <v>995</v>
      </c>
      <c r="C5" s="16">
        <v>148.59</v>
      </c>
      <c r="I5" s="17">
        <f t="shared" si="0"/>
        <v>0.14933668341708542</v>
      </c>
      <c r="J5" s="7"/>
      <c r="K5" s="69">
        <f>AVERAGE(B17:B57)</f>
        <v>925.780487804878</v>
      </c>
      <c r="L5" t="s">
        <v>205</v>
      </c>
    </row>
    <row r="6" spans="1:10" ht="12.75">
      <c r="A6" s="13">
        <v>38114</v>
      </c>
      <c r="B6">
        <v>937</v>
      </c>
      <c r="C6" s="16">
        <v>148.33</v>
      </c>
      <c r="I6" s="17">
        <f t="shared" si="0"/>
        <v>0.15830309498399148</v>
      </c>
      <c r="J6" s="7"/>
    </row>
    <row r="7" spans="1:10" ht="12.75">
      <c r="A7" s="13">
        <v>38145</v>
      </c>
      <c r="B7">
        <v>1198</v>
      </c>
      <c r="C7" s="16">
        <v>143.67</v>
      </c>
      <c r="I7" s="17">
        <f t="shared" si="0"/>
        <v>0.11992487479131886</v>
      </c>
      <c r="J7" s="7"/>
    </row>
    <row r="8" spans="1:10" ht="12.75">
      <c r="A8" s="13">
        <v>38175</v>
      </c>
      <c r="B8">
        <v>2048</v>
      </c>
      <c r="C8" s="16">
        <v>178.52</v>
      </c>
      <c r="I8" s="17">
        <f t="shared" si="0"/>
        <v>0.08716796875</v>
      </c>
      <c r="J8" s="7"/>
    </row>
    <row r="9" spans="1:10" ht="12.75">
      <c r="A9" s="13">
        <v>38206</v>
      </c>
      <c r="B9">
        <v>1722</v>
      </c>
      <c r="C9" s="16">
        <v>292.03</v>
      </c>
      <c r="I9" s="17">
        <f t="shared" si="0"/>
        <v>0.16958768873403018</v>
      </c>
      <c r="J9" s="7"/>
    </row>
    <row r="10" spans="1:10" ht="12.75">
      <c r="A10" s="13">
        <v>38237</v>
      </c>
      <c r="B10">
        <v>1127</v>
      </c>
      <c r="C10" s="16">
        <v>248.5</v>
      </c>
      <c r="I10" s="17">
        <f t="shared" si="0"/>
        <v>0.2204968944099379</v>
      </c>
      <c r="J10" s="7"/>
    </row>
    <row r="11" spans="1:10" ht="12.75">
      <c r="A11" s="13">
        <v>38267</v>
      </c>
      <c r="B11">
        <v>1570</v>
      </c>
      <c r="C11" s="16">
        <v>228.2</v>
      </c>
      <c r="I11" s="17">
        <f t="shared" si="0"/>
        <v>0.1453503184713376</v>
      </c>
      <c r="J11" s="7"/>
    </row>
    <row r="12" spans="1:10" ht="12.75">
      <c r="A12" s="13">
        <v>38298</v>
      </c>
      <c r="B12">
        <v>997</v>
      </c>
      <c r="C12" s="16">
        <v>151.68</v>
      </c>
      <c r="I12" s="17">
        <f t="shared" si="0"/>
        <v>0.15213640922768307</v>
      </c>
      <c r="J12" s="7"/>
    </row>
    <row r="13" spans="1:10" ht="12.75">
      <c r="A13" s="13">
        <v>38328</v>
      </c>
      <c r="B13">
        <v>1363</v>
      </c>
      <c r="C13" s="16">
        <v>200.56</v>
      </c>
      <c r="I13" s="17">
        <f t="shared" si="0"/>
        <v>0.14714600146735143</v>
      </c>
      <c r="J13" s="7"/>
    </row>
    <row r="14" spans="1:10" ht="12.75">
      <c r="A14" s="13">
        <v>38359</v>
      </c>
      <c r="B14">
        <v>1489</v>
      </c>
      <c r="C14" s="16">
        <v>153.5</v>
      </c>
      <c r="D14">
        <f aca="true" t="shared" si="1" ref="D14:E19">B2-B14</f>
        <v>-140</v>
      </c>
      <c r="E14" s="16">
        <f t="shared" si="1"/>
        <v>27.80000000000001</v>
      </c>
      <c r="I14" s="17">
        <f t="shared" si="0"/>
        <v>0.10308932169241102</v>
      </c>
      <c r="J14" s="7"/>
    </row>
    <row r="15" spans="1:10" ht="12.75">
      <c r="A15" s="13">
        <v>38390</v>
      </c>
      <c r="B15">
        <v>1187</v>
      </c>
      <c r="C15" s="16">
        <v>128.75</v>
      </c>
      <c r="D15">
        <f t="shared" si="1"/>
        <v>76</v>
      </c>
      <c r="E15" s="16">
        <f t="shared" si="1"/>
        <v>65.75999999999999</v>
      </c>
      <c r="I15" s="17">
        <f t="shared" si="0"/>
        <v>0.10846672283066554</v>
      </c>
      <c r="J15" s="7"/>
    </row>
    <row r="16" spans="1:10" ht="12.75">
      <c r="A16" s="13">
        <v>38418</v>
      </c>
      <c r="B16">
        <v>998</v>
      </c>
      <c r="C16" s="16">
        <v>112.31</v>
      </c>
      <c r="D16">
        <f t="shared" si="1"/>
        <v>-1</v>
      </c>
      <c r="E16" s="16">
        <f t="shared" si="1"/>
        <v>70.97</v>
      </c>
      <c r="F16">
        <v>200</v>
      </c>
      <c r="I16" s="17">
        <f t="shared" si="0"/>
        <v>0.11253507014028057</v>
      </c>
      <c r="J16" s="7"/>
    </row>
    <row r="17" spans="1:10" ht="12.75">
      <c r="A17" s="13">
        <v>38449</v>
      </c>
      <c r="B17">
        <v>611</v>
      </c>
      <c r="C17" s="16">
        <v>75.16</v>
      </c>
      <c r="D17">
        <f t="shared" si="1"/>
        <v>384</v>
      </c>
      <c r="E17" s="16">
        <f t="shared" si="1"/>
        <v>73.43</v>
      </c>
      <c r="F17">
        <v>400</v>
      </c>
      <c r="G17">
        <f aca="true" t="shared" si="2" ref="G17:G22">D17-F17</f>
        <v>-16</v>
      </c>
      <c r="H17" t="s">
        <v>272</v>
      </c>
      <c r="I17" s="17"/>
      <c r="J17" s="7"/>
    </row>
    <row r="18" spans="1:10" ht="12.75">
      <c r="A18" s="13">
        <v>38479</v>
      </c>
      <c r="B18">
        <v>362</v>
      </c>
      <c r="C18" s="16">
        <v>48.9</v>
      </c>
      <c r="D18">
        <f t="shared" si="1"/>
        <v>575</v>
      </c>
      <c r="E18" s="16">
        <f t="shared" si="1"/>
        <v>99.43</v>
      </c>
      <c r="F18">
        <v>390</v>
      </c>
      <c r="G18">
        <f t="shared" si="2"/>
        <v>185</v>
      </c>
      <c r="I18" s="17">
        <f t="shared" si="0"/>
        <v>0.13508287292817678</v>
      </c>
      <c r="J18" s="7"/>
    </row>
    <row r="19" spans="1:10" ht="12.75">
      <c r="A19" s="13">
        <v>38510</v>
      </c>
      <c r="B19">
        <v>605</v>
      </c>
      <c r="C19" s="22">
        <v>74.53</v>
      </c>
      <c r="D19">
        <f t="shared" si="1"/>
        <v>593</v>
      </c>
      <c r="E19" s="16">
        <f t="shared" si="1"/>
        <v>69.13999999999999</v>
      </c>
      <c r="F19">
        <v>400</v>
      </c>
      <c r="G19">
        <f t="shared" si="2"/>
        <v>193</v>
      </c>
      <c r="I19" s="17">
        <f t="shared" si="0"/>
        <v>0.12319008264462811</v>
      </c>
      <c r="J19" s="7"/>
    </row>
    <row r="20" spans="1:9" ht="12.75">
      <c r="A20" s="13">
        <v>38540</v>
      </c>
      <c r="B20">
        <v>1122</v>
      </c>
      <c r="C20" s="25">
        <v>130.53</v>
      </c>
      <c r="D20">
        <f aca="true" t="shared" si="3" ref="D20:E22">B8-B20</f>
        <v>926</v>
      </c>
      <c r="E20" s="22">
        <f t="shared" si="3"/>
        <v>47.99000000000001</v>
      </c>
      <c r="F20">
        <v>320</v>
      </c>
      <c r="G20">
        <f t="shared" si="2"/>
        <v>606</v>
      </c>
      <c r="I20" s="17">
        <f t="shared" si="0"/>
        <v>0.11633689839572192</v>
      </c>
    </row>
    <row r="21" spans="1:9" ht="12.75">
      <c r="A21" s="13">
        <v>38571</v>
      </c>
      <c r="B21">
        <v>1117</v>
      </c>
      <c r="C21" s="25">
        <v>127.61</v>
      </c>
      <c r="D21">
        <f t="shared" si="3"/>
        <v>605</v>
      </c>
      <c r="E21" s="22">
        <f t="shared" si="3"/>
        <v>164.41999999999996</v>
      </c>
      <c r="F21">
        <v>390</v>
      </c>
      <c r="G21">
        <f t="shared" si="2"/>
        <v>215</v>
      </c>
      <c r="I21" s="17">
        <f t="shared" si="0"/>
        <v>0.11424350940017905</v>
      </c>
    </row>
    <row r="22" spans="1:9" ht="12.75">
      <c r="A22" s="13">
        <v>38602</v>
      </c>
      <c r="B22">
        <v>1195</v>
      </c>
      <c r="C22" s="25">
        <v>139.25</v>
      </c>
      <c r="D22">
        <f t="shared" si="3"/>
        <v>-68</v>
      </c>
      <c r="E22" s="22">
        <f t="shared" si="3"/>
        <v>109.25</v>
      </c>
      <c r="F22">
        <v>350</v>
      </c>
      <c r="G22">
        <f t="shared" si="2"/>
        <v>-418</v>
      </c>
      <c r="I22" s="17">
        <f t="shared" si="0"/>
        <v>0.11652719665271967</v>
      </c>
    </row>
    <row r="23" spans="1:9" ht="12.75">
      <c r="A23" s="13">
        <v>38632</v>
      </c>
      <c r="B23">
        <v>730</v>
      </c>
      <c r="C23" s="31">
        <v>89.43</v>
      </c>
      <c r="D23">
        <f aca="true" t="shared" si="4" ref="D23:E25">B11-B23</f>
        <v>840</v>
      </c>
      <c r="E23" s="25">
        <f t="shared" si="4"/>
        <v>138.76999999999998</v>
      </c>
      <c r="F23">
        <v>275</v>
      </c>
      <c r="G23">
        <f>D23-F23</f>
        <v>565</v>
      </c>
      <c r="I23" s="17">
        <f t="shared" si="0"/>
        <v>0.1225068493150685</v>
      </c>
    </row>
    <row r="24" spans="1:9" ht="12.75">
      <c r="A24" s="13">
        <v>38663</v>
      </c>
      <c r="B24">
        <v>690</v>
      </c>
      <c r="C24" s="42">
        <v>84.11</v>
      </c>
      <c r="D24">
        <f t="shared" si="4"/>
        <v>307</v>
      </c>
      <c r="E24" s="31">
        <f t="shared" si="4"/>
        <v>67.57000000000001</v>
      </c>
      <c r="F24">
        <v>150</v>
      </c>
      <c r="G24">
        <f>D24-F24</f>
        <v>157</v>
      </c>
      <c r="I24" s="17">
        <f t="shared" si="0"/>
        <v>0.12189855072463768</v>
      </c>
    </row>
    <row r="25" spans="1:9" ht="12.75">
      <c r="A25" s="13">
        <v>38693</v>
      </c>
      <c r="B25">
        <v>1242</v>
      </c>
      <c r="C25" s="42">
        <v>133.54</v>
      </c>
      <c r="D25">
        <f t="shared" si="4"/>
        <v>121</v>
      </c>
      <c r="E25" s="31">
        <f t="shared" si="4"/>
        <v>67.02000000000001</v>
      </c>
      <c r="F25">
        <v>125</v>
      </c>
      <c r="G25">
        <f>D25-F25</f>
        <v>-4</v>
      </c>
      <c r="I25" s="17">
        <f t="shared" si="0"/>
        <v>0.10752012882447665</v>
      </c>
    </row>
    <row r="26" spans="1:9" ht="12.75">
      <c r="A26" s="13">
        <v>38724</v>
      </c>
      <c r="B26">
        <v>1784</v>
      </c>
      <c r="C26" s="46">
        <v>179.46</v>
      </c>
      <c r="D26">
        <f aca="true" t="shared" si="5" ref="D26:E28">B14-B26</f>
        <v>-295</v>
      </c>
      <c r="E26" s="45">
        <f t="shared" si="5"/>
        <v>-25.960000000000008</v>
      </c>
      <c r="F26">
        <v>170</v>
      </c>
      <c r="G26">
        <f>D26-F26</f>
        <v>-465</v>
      </c>
      <c r="I26" s="17">
        <f t="shared" si="0"/>
        <v>0.10059417040358745</v>
      </c>
    </row>
    <row r="27" spans="1:9" ht="12.75">
      <c r="A27" s="13">
        <v>38755</v>
      </c>
      <c r="B27">
        <v>1378</v>
      </c>
      <c r="C27" s="46">
        <v>144.34</v>
      </c>
      <c r="D27">
        <f t="shared" si="5"/>
        <v>-191</v>
      </c>
      <c r="E27" s="45">
        <f t="shared" si="5"/>
        <v>-15.590000000000003</v>
      </c>
      <c r="F27">
        <v>250</v>
      </c>
      <c r="G27">
        <f>D27-F27</f>
        <v>-441</v>
      </c>
      <c r="I27" s="17">
        <f t="shared" si="0"/>
        <v>0.10474600870827286</v>
      </c>
    </row>
    <row r="28" spans="1:9" ht="12.75">
      <c r="A28" s="13">
        <v>38783</v>
      </c>
      <c r="B28">
        <v>868</v>
      </c>
      <c r="C28" s="46">
        <v>101.02</v>
      </c>
      <c r="D28">
        <f t="shared" si="5"/>
        <v>130</v>
      </c>
      <c r="E28" s="45">
        <f t="shared" si="5"/>
        <v>11.290000000000006</v>
      </c>
      <c r="F28">
        <v>380</v>
      </c>
      <c r="I28" s="17">
        <f t="shared" si="0"/>
        <v>0.11638248847926266</v>
      </c>
    </row>
    <row r="29" spans="1:9" ht="12.75">
      <c r="A29" s="13">
        <v>38814</v>
      </c>
      <c r="B29">
        <v>837</v>
      </c>
      <c r="C29" s="46">
        <v>72.14</v>
      </c>
      <c r="D29">
        <f aca="true" t="shared" si="6" ref="D29:E31">B5-B29</f>
        <v>158</v>
      </c>
      <c r="E29" s="45">
        <f t="shared" si="6"/>
        <v>76.45</v>
      </c>
      <c r="F29">
        <v>450</v>
      </c>
      <c r="I29" s="17">
        <f t="shared" si="0"/>
        <v>0.08618876941457587</v>
      </c>
    </row>
    <row r="30" spans="1:9" ht="12.75">
      <c r="A30" s="13">
        <v>38844</v>
      </c>
      <c r="B30">
        <v>778</v>
      </c>
      <c r="C30" s="46">
        <v>25.91</v>
      </c>
      <c r="D30">
        <f t="shared" si="6"/>
        <v>159</v>
      </c>
      <c r="E30" s="45">
        <f t="shared" si="6"/>
        <v>122.42000000000002</v>
      </c>
      <c r="F30">
        <v>420</v>
      </c>
      <c r="I30" s="17">
        <f t="shared" si="0"/>
        <v>0.03330334190231363</v>
      </c>
    </row>
    <row r="31" spans="1:9" ht="12.75">
      <c r="A31" s="13">
        <v>38875</v>
      </c>
      <c r="B31">
        <v>1186</v>
      </c>
      <c r="C31" s="46">
        <v>129.13</v>
      </c>
      <c r="D31">
        <f t="shared" si="6"/>
        <v>12</v>
      </c>
      <c r="E31" s="45">
        <f t="shared" si="6"/>
        <v>14.539999999999992</v>
      </c>
      <c r="I31" s="17">
        <f t="shared" si="0"/>
        <v>0.10887858347386171</v>
      </c>
    </row>
    <row r="32" spans="1:9" ht="12.75">
      <c r="A32" s="13">
        <v>38905</v>
      </c>
      <c r="B32">
        <v>1742</v>
      </c>
      <c r="C32" s="47">
        <v>187.43</v>
      </c>
      <c r="D32">
        <f>B8-B32</f>
        <v>306</v>
      </c>
      <c r="E32" s="46">
        <f>C8-C32</f>
        <v>-8.909999999999997</v>
      </c>
      <c r="I32" s="17">
        <f>C32/B32</f>
        <v>0.1075947187141217</v>
      </c>
    </row>
    <row r="33" spans="1:9" ht="12.75">
      <c r="A33" s="13">
        <v>38936</v>
      </c>
      <c r="B33">
        <v>1332</v>
      </c>
      <c r="C33" s="47">
        <v>143.07</v>
      </c>
      <c r="D33">
        <f>B9-B33</f>
        <v>390</v>
      </c>
      <c r="E33" s="46">
        <f>C9-C33</f>
        <v>148.95999999999998</v>
      </c>
      <c r="I33" s="17">
        <f>C33/B33</f>
        <v>0.10740990990990991</v>
      </c>
    </row>
    <row r="34" spans="1:3" ht="12.75">
      <c r="A34" s="13">
        <v>38967</v>
      </c>
      <c r="B34">
        <v>1483</v>
      </c>
      <c r="C34" s="70">
        <v>158.97</v>
      </c>
    </row>
    <row r="35" spans="1:3" ht="12.75">
      <c r="A35" s="13">
        <v>38997</v>
      </c>
      <c r="B35">
        <v>935</v>
      </c>
      <c r="C35" s="70">
        <v>97.38</v>
      </c>
    </row>
    <row r="36" spans="1:3" ht="12.75">
      <c r="A36" s="13">
        <v>39028</v>
      </c>
      <c r="B36">
        <v>709</v>
      </c>
      <c r="C36" s="70">
        <v>78.34</v>
      </c>
    </row>
    <row r="37" spans="1:3" ht="12.75">
      <c r="A37" s="13">
        <v>39058</v>
      </c>
      <c r="B37">
        <v>988</v>
      </c>
      <c r="C37" s="70">
        <v>101.46</v>
      </c>
    </row>
    <row r="38" spans="1:3" ht="12.75">
      <c r="A38" s="13">
        <v>39089</v>
      </c>
      <c r="B38">
        <v>1205</v>
      </c>
      <c r="C38" s="70">
        <v>120.28</v>
      </c>
    </row>
    <row r="39" spans="1:3" ht="12.75">
      <c r="A39" s="13">
        <v>39120</v>
      </c>
      <c r="B39">
        <v>1017</v>
      </c>
      <c r="C39" s="70">
        <v>108.21</v>
      </c>
    </row>
    <row r="40" spans="1:3" ht="12.75">
      <c r="A40" s="13">
        <v>39148</v>
      </c>
      <c r="B40">
        <v>0</v>
      </c>
      <c r="C40" s="70">
        <v>83.57</v>
      </c>
    </row>
    <row r="41" spans="1:3" ht="12.75">
      <c r="A41" s="13">
        <v>39179</v>
      </c>
      <c r="B41">
        <v>730</v>
      </c>
      <c r="C41" s="70">
        <v>73.36</v>
      </c>
    </row>
    <row r="42" spans="1:3" ht="12.75">
      <c r="A42" s="13">
        <v>39209</v>
      </c>
      <c r="B42">
        <v>625</v>
      </c>
      <c r="C42" s="70">
        <v>60.03</v>
      </c>
    </row>
    <row r="43" spans="1:4" ht="12.75">
      <c r="A43" s="7">
        <v>39212</v>
      </c>
      <c r="B43">
        <v>489</v>
      </c>
      <c r="C43">
        <v>0</v>
      </c>
      <c r="D43">
        <v>16</v>
      </c>
    </row>
    <row r="44" spans="1:4" ht="12.75">
      <c r="A44" s="7">
        <v>39245</v>
      </c>
      <c r="B44">
        <v>1156</v>
      </c>
      <c r="C44">
        <v>0</v>
      </c>
      <c r="D44">
        <v>35</v>
      </c>
    </row>
    <row r="45" spans="1:4" ht="12.75">
      <c r="A45" s="7">
        <v>39274</v>
      </c>
      <c r="B45">
        <v>1228</v>
      </c>
      <c r="C45">
        <v>0</v>
      </c>
      <c r="D45">
        <v>42</v>
      </c>
    </row>
    <row r="46" spans="1:4" ht="12.75">
      <c r="A46" s="7">
        <v>39304</v>
      </c>
      <c r="B46">
        <v>1828</v>
      </c>
      <c r="C46">
        <v>0</v>
      </c>
      <c r="D46">
        <v>61</v>
      </c>
    </row>
    <row r="47" spans="1:4" ht="12.75">
      <c r="A47" s="7">
        <v>39333</v>
      </c>
      <c r="B47">
        <v>1279</v>
      </c>
      <c r="C47">
        <v>0</v>
      </c>
      <c r="D47">
        <v>44</v>
      </c>
    </row>
    <row r="48" spans="1:4" ht="12.75">
      <c r="A48" s="7">
        <v>39364</v>
      </c>
      <c r="B48">
        <v>938</v>
      </c>
      <c r="C48">
        <v>0</v>
      </c>
      <c r="D48">
        <v>30</v>
      </c>
    </row>
    <row r="49" spans="1:4" ht="12.75">
      <c r="A49" s="7">
        <v>39394</v>
      </c>
      <c r="B49">
        <v>719</v>
      </c>
      <c r="C49">
        <v>0</v>
      </c>
      <c r="D49">
        <v>24</v>
      </c>
    </row>
    <row r="50" spans="1:4" ht="12.75">
      <c r="A50" s="7">
        <v>39427</v>
      </c>
      <c r="B50">
        <v>1038</v>
      </c>
      <c r="C50">
        <v>0</v>
      </c>
      <c r="D50">
        <v>31</v>
      </c>
    </row>
    <row r="51" spans="1:4" ht="12.75">
      <c r="A51" s="7">
        <v>39457</v>
      </c>
      <c r="B51">
        <v>1110</v>
      </c>
      <c r="C51">
        <v>0</v>
      </c>
      <c r="D51">
        <v>37</v>
      </c>
    </row>
    <row r="52" spans="1:4" ht="12.75">
      <c r="A52" s="7">
        <v>39490</v>
      </c>
      <c r="B52">
        <v>879</v>
      </c>
      <c r="C52">
        <v>0</v>
      </c>
      <c r="D52">
        <v>27</v>
      </c>
    </row>
    <row r="53" spans="1:4" ht="12.75">
      <c r="A53" s="7">
        <v>39519</v>
      </c>
      <c r="B53">
        <v>0</v>
      </c>
      <c r="C53">
        <v>0</v>
      </c>
      <c r="D53">
        <v>0</v>
      </c>
    </row>
    <row r="54" spans="1:4" ht="12.75">
      <c r="A54" s="7">
        <v>39519</v>
      </c>
      <c r="B54">
        <v>538</v>
      </c>
      <c r="C54">
        <v>0</v>
      </c>
      <c r="D54">
        <v>19</v>
      </c>
    </row>
    <row r="55" spans="1:7" ht="12.75">
      <c r="A55" s="7">
        <v>39548</v>
      </c>
      <c r="B55">
        <v>352</v>
      </c>
      <c r="C55">
        <v>0</v>
      </c>
      <c r="D55">
        <v>12</v>
      </c>
      <c r="F55" s="17">
        <f>AVERAGE(I2:I40)</f>
        <v>0.12477996149009767</v>
      </c>
      <c r="G55" t="s">
        <v>248</v>
      </c>
    </row>
    <row r="56" spans="1:4" ht="12.75">
      <c r="A56" s="7">
        <v>39577</v>
      </c>
      <c r="B56">
        <v>396</v>
      </c>
      <c r="C56">
        <v>0</v>
      </c>
      <c r="D56">
        <v>14</v>
      </c>
    </row>
    <row r="57" spans="1:4" ht="12.75">
      <c r="A57" s="7">
        <v>39610</v>
      </c>
      <c r="B57">
        <v>736</v>
      </c>
      <c r="C57">
        <v>0</v>
      </c>
      <c r="D57">
        <v>22</v>
      </c>
    </row>
    <row r="58" spans="1:4" ht="12.75">
      <c r="A58" s="7">
        <v>39640</v>
      </c>
      <c r="B58">
        <v>1252</v>
      </c>
      <c r="C58">
        <v>0</v>
      </c>
      <c r="D58">
        <v>42</v>
      </c>
    </row>
    <row r="59" spans="1:4" ht="12.75">
      <c r="A59" s="7">
        <v>39668</v>
      </c>
      <c r="B59">
        <v>1324</v>
      </c>
      <c r="C59">
        <v>0</v>
      </c>
      <c r="D59">
        <v>47</v>
      </c>
    </row>
    <row r="60" spans="1:6" ht="12.75">
      <c r="A60" s="7">
        <v>39701</v>
      </c>
      <c r="B60">
        <v>1451</v>
      </c>
      <c r="C60">
        <v>0</v>
      </c>
      <c r="D60">
        <v>44</v>
      </c>
      <c r="F60" t="s">
        <v>265</v>
      </c>
    </row>
    <row r="61" spans="9:13" ht="12.75">
      <c r="I61" s="66" t="s">
        <v>260</v>
      </c>
      <c r="J61" s="19" t="s">
        <v>261</v>
      </c>
      <c r="K61" s="19" t="s">
        <v>262</v>
      </c>
      <c r="L61" s="19" t="s">
        <v>263</v>
      </c>
      <c r="M61" s="19" t="s">
        <v>264</v>
      </c>
    </row>
    <row r="62" spans="1:13" ht="12.75">
      <c r="A62" t="s">
        <v>80</v>
      </c>
      <c r="B62">
        <f>SUM(B18:B30)</f>
        <v>12708</v>
      </c>
      <c r="C62" s="47">
        <f>SUM(C18:C30)</f>
        <v>1350.7700000000002</v>
      </c>
      <c r="D62" t="s">
        <v>98</v>
      </c>
      <c r="I62">
        <f>B26-B24</f>
        <v>1094</v>
      </c>
      <c r="J62" s="12">
        <f>I62/30</f>
        <v>36.46666666666667</v>
      </c>
      <c r="K62">
        <f>J62*1000</f>
        <v>36466.66666666667</v>
      </c>
      <c r="L62" s="12">
        <f>K62/24</f>
        <v>1519.4444444444446</v>
      </c>
      <c r="M62" s="12">
        <f>L62/20</f>
        <v>75.97222222222223</v>
      </c>
    </row>
    <row r="65" spans="1:3" ht="12.75">
      <c r="A65" t="s">
        <v>239</v>
      </c>
      <c r="B65" t="e">
        <f>#REF!-B62</f>
        <v>#REF!</v>
      </c>
      <c r="C65" s="47" t="e">
        <f>#REF!-C62</f>
        <v>#REF!</v>
      </c>
    </row>
    <row r="66" ht="12.75">
      <c r="B66" t="s">
        <v>240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D59" sqref="D59"/>
    </sheetView>
  </sheetViews>
  <sheetFormatPr defaultColWidth="11.00390625" defaultRowHeight="12.75"/>
  <cols>
    <col min="3" max="3" width="10.75390625" style="20" customWidth="1"/>
    <col min="5" max="5" width="12.375" style="0" customWidth="1"/>
  </cols>
  <sheetData>
    <row r="1" spans="1:13" s="29" customFormat="1" ht="76.5">
      <c r="A1" s="26" t="s">
        <v>230</v>
      </c>
      <c r="B1" s="26" t="s">
        <v>231</v>
      </c>
      <c r="C1" s="27" t="s">
        <v>117</v>
      </c>
      <c r="D1" s="28" t="s">
        <v>4</v>
      </c>
      <c r="E1" s="29" t="s">
        <v>151</v>
      </c>
      <c r="F1" s="29" t="s">
        <v>64</v>
      </c>
      <c r="L1" s="29" t="s">
        <v>254</v>
      </c>
      <c r="M1" s="88">
        <f>B2/C2</f>
        <v>1.5206091370558377</v>
      </c>
    </row>
    <row r="2" spans="1:15" ht="12.75">
      <c r="A2" s="13">
        <v>37955</v>
      </c>
      <c r="B2" s="16">
        <v>299.56</v>
      </c>
      <c r="C2" s="20">
        <v>197</v>
      </c>
      <c r="F2">
        <v>5008</v>
      </c>
      <c r="I2" t="s">
        <v>206</v>
      </c>
      <c r="J2" s="43">
        <f>AVERAGE(C2:C16)</f>
        <v>136.6</v>
      </c>
      <c r="K2" t="s">
        <v>208</v>
      </c>
      <c r="O2" s="18"/>
    </row>
    <row r="3" spans="1:15" ht="12.75">
      <c r="A3" s="13">
        <v>37996</v>
      </c>
      <c r="B3" s="16">
        <v>394.85</v>
      </c>
      <c r="C3" s="20">
        <v>269</v>
      </c>
      <c r="F3">
        <v>632</v>
      </c>
      <c r="O3" s="18"/>
    </row>
    <row r="4" spans="1:15" ht="12.75">
      <c r="A4" s="13">
        <v>38027</v>
      </c>
      <c r="B4" s="16">
        <v>334.87</v>
      </c>
      <c r="C4" s="20">
        <v>226</v>
      </c>
      <c r="D4" s="16"/>
      <c r="F4">
        <v>473</v>
      </c>
      <c r="I4" t="s">
        <v>207</v>
      </c>
      <c r="J4" s="43">
        <f>AVERAGE(C18:C59)</f>
        <v>103.57142857142857</v>
      </c>
      <c r="O4" s="18"/>
    </row>
    <row r="5" spans="1:15" ht="12.75">
      <c r="A5" s="13">
        <v>38058</v>
      </c>
      <c r="B5" s="16">
        <v>286.9</v>
      </c>
      <c r="C5" s="20">
        <v>182</v>
      </c>
      <c r="D5" s="16"/>
      <c r="F5">
        <v>268</v>
      </c>
      <c r="O5" s="18"/>
    </row>
    <row r="6" spans="1:15" ht="12.75">
      <c r="A6" s="13">
        <v>38087</v>
      </c>
      <c r="B6" s="16">
        <v>164.76</v>
      </c>
      <c r="C6" s="20">
        <v>96</v>
      </c>
      <c r="D6" s="16"/>
      <c r="F6">
        <v>81</v>
      </c>
      <c r="O6" s="18"/>
    </row>
    <row r="7" spans="1:15" ht="12.75">
      <c r="A7" s="13">
        <v>38125</v>
      </c>
      <c r="B7" s="16">
        <v>69.52</v>
      </c>
      <c r="C7" s="20">
        <v>33</v>
      </c>
      <c r="D7" s="16"/>
      <c r="F7">
        <v>17</v>
      </c>
      <c r="O7" s="18"/>
    </row>
    <row r="8" spans="1:15" ht="12.75">
      <c r="A8" s="13">
        <v>38148</v>
      </c>
      <c r="B8" s="16">
        <v>44.81</v>
      </c>
      <c r="C8" s="20">
        <v>19</v>
      </c>
      <c r="D8" s="16"/>
      <c r="O8" s="18"/>
    </row>
    <row r="9" spans="1:15" ht="12.75">
      <c r="A9" s="13">
        <v>38178</v>
      </c>
      <c r="B9" s="16">
        <v>51.72</v>
      </c>
      <c r="C9" s="20">
        <v>20</v>
      </c>
      <c r="D9" s="16"/>
      <c r="O9" s="18"/>
    </row>
    <row r="10" spans="1:15" ht="12.75">
      <c r="A10" s="13">
        <v>38209</v>
      </c>
      <c r="B10" s="16">
        <v>32.5</v>
      </c>
      <c r="C10" s="20">
        <v>12</v>
      </c>
      <c r="D10" s="16"/>
      <c r="O10" s="18"/>
    </row>
    <row r="11" spans="1:15" ht="12.75">
      <c r="A11" s="13">
        <v>38240</v>
      </c>
      <c r="B11" s="16">
        <v>48.42</v>
      </c>
      <c r="C11" s="20">
        <v>21</v>
      </c>
      <c r="D11" s="16"/>
      <c r="F11">
        <v>56</v>
      </c>
      <c r="O11" s="18"/>
    </row>
    <row r="12" spans="1:15" ht="12.75">
      <c r="A12" s="13">
        <v>38273</v>
      </c>
      <c r="B12" s="16">
        <v>48.18</v>
      </c>
      <c r="C12" s="20">
        <v>24</v>
      </c>
      <c r="D12" s="16"/>
      <c r="F12">
        <v>335</v>
      </c>
      <c r="O12" s="18"/>
    </row>
    <row r="13" spans="1:15" ht="12.75">
      <c r="A13" s="13">
        <v>38302</v>
      </c>
      <c r="B13" s="16">
        <v>178</v>
      </c>
      <c r="C13" s="20">
        <v>135</v>
      </c>
      <c r="D13" s="16"/>
      <c r="F13">
        <v>565</v>
      </c>
      <c r="O13" s="18"/>
    </row>
    <row r="14" spans="1:15" ht="12.75">
      <c r="A14" s="13">
        <v>38331</v>
      </c>
      <c r="B14" s="16">
        <v>315.83</v>
      </c>
      <c r="C14" s="20">
        <v>236</v>
      </c>
      <c r="D14" s="16">
        <f>B2-B14</f>
        <v>-16.269999999999982</v>
      </c>
      <c r="E14" s="43">
        <f aca="true" t="shared" si="0" ref="E14:E26">C2-C14</f>
        <v>-39</v>
      </c>
      <c r="F14" t="s">
        <v>162</v>
      </c>
      <c r="O14" s="18"/>
    </row>
    <row r="15" spans="1:15" ht="12.75">
      <c r="A15" s="13">
        <v>38360</v>
      </c>
      <c r="B15" s="16">
        <v>433.15</v>
      </c>
      <c r="C15" s="20">
        <v>319</v>
      </c>
      <c r="D15" s="31">
        <f aca="true" t="shared" si="1" ref="D15:D26">B3-B15</f>
        <v>-38.299999999999955</v>
      </c>
      <c r="E15" s="43">
        <f t="shared" si="0"/>
        <v>-50</v>
      </c>
      <c r="F15">
        <v>797</v>
      </c>
      <c r="O15" s="18"/>
    </row>
    <row r="16" spans="1:15" ht="12.75">
      <c r="A16" s="13">
        <v>38389</v>
      </c>
      <c r="B16" s="31">
        <v>383.56</v>
      </c>
      <c r="C16" s="20">
        <v>260</v>
      </c>
      <c r="D16" s="31">
        <f t="shared" si="1"/>
        <v>-48.69</v>
      </c>
      <c r="E16" s="43">
        <f t="shared" si="0"/>
        <v>-34</v>
      </c>
      <c r="O16" s="30"/>
    </row>
    <row r="17" spans="1:15" ht="12.75">
      <c r="A17" s="13">
        <v>38419</v>
      </c>
      <c r="B17" s="16">
        <v>311.9</v>
      </c>
      <c r="C17" s="20">
        <v>228</v>
      </c>
      <c r="D17" s="31">
        <f t="shared" si="1"/>
        <v>-25</v>
      </c>
      <c r="E17" s="43">
        <f t="shared" si="0"/>
        <v>-46</v>
      </c>
      <c r="F17">
        <v>592</v>
      </c>
      <c r="O17" s="18"/>
    </row>
    <row r="18" spans="1:15" ht="12.75">
      <c r="A18" s="13">
        <v>38449</v>
      </c>
      <c r="B18" s="16">
        <v>121.73</v>
      </c>
      <c r="C18" s="20">
        <v>95</v>
      </c>
      <c r="D18" s="31">
        <f t="shared" si="1"/>
        <v>43.02999999999999</v>
      </c>
      <c r="E18" s="43">
        <f t="shared" si="0"/>
        <v>1</v>
      </c>
      <c r="F18">
        <v>293</v>
      </c>
      <c r="O18" s="18"/>
    </row>
    <row r="19" spans="1:6" ht="12.75">
      <c r="A19" s="13">
        <v>38482</v>
      </c>
      <c r="B19" s="16">
        <v>31.26</v>
      </c>
      <c r="C19" s="20">
        <v>21</v>
      </c>
      <c r="D19" s="31">
        <f t="shared" si="1"/>
        <v>38.25999999999999</v>
      </c>
      <c r="E19" s="43">
        <f t="shared" si="0"/>
        <v>12</v>
      </c>
      <c r="F19">
        <v>70</v>
      </c>
    </row>
    <row r="20" spans="1:5" ht="12.75">
      <c r="A20" s="13">
        <v>38511</v>
      </c>
      <c r="B20" s="25">
        <v>33.07</v>
      </c>
      <c r="C20" s="20">
        <v>20</v>
      </c>
      <c r="D20" s="31">
        <f t="shared" si="1"/>
        <v>11.740000000000002</v>
      </c>
      <c r="E20" s="43">
        <f t="shared" si="0"/>
        <v>-1</v>
      </c>
    </row>
    <row r="21" spans="1:5" ht="12.75">
      <c r="A21" s="13">
        <v>38541</v>
      </c>
      <c r="B21" s="25">
        <v>27.51</v>
      </c>
      <c r="C21" s="20">
        <v>16</v>
      </c>
      <c r="D21" s="31">
        <f t="shared" si="1"/>
        <v>24.209999999999997</v>
      </c>
      <c r="E21" s="43">
        <f t="shared" si="0"/>
        <v>4</v>
      </c>
    </row>
    <row r="22" spans="1:5" ht="12.75">
      <c r="A22" s="13">
        <v>38572</v>
      </c>
      <c r="B22" s="25">
        <v>17.37</v>
      </c>
      <c r="C22" s="20">
        <v>6</v>
      </c>
      <c r="D22" s="31">
        <f t="shared" si="1"/>
        <v>15.129999999999999</v>
      </c>
      <c r="E22" s="43">
        <f t="shared" si="0"/>
        <v>6</v>
      </c>
    </row>
    <row r="23" spans="1:5" ht="12.75">
      <c r="A23" s="13">
        <v>38603</v>
      </c>
      <c r="B23" s="31">
        <v>17.37</v>
      </c>
      <c r="C23" s="20">
        <v>6</v>
      </c>
      <c r="D23" s="31">
        <f t="shared" si="1"/>
        <v>31.05</v>
      </c>
      <c r="E23" s="43">
        <f t="shared" si="0"/>
        <v>15</v>
      </c>
    </row>
    <row r="24" spans="1:6" ht="12.75">
      <c r="A24" s="13">
        <v>38633</v>
      </c>
      <c r="B24" s="42">
        <v>57.04</v>
      </c>
      <c r="C24" s="20">
        <v>42</v>
      </c>
      <c r="D24" s="31">
        <f t="shared" si="1"/>
        <v>-8.86</v>
      </c>
      <c r="E24" s="43">
        <f t="shared" si="0"/>
        <v>-18</v>
      </c>
      <c r="F24">
        <v>109</v>
      </c>
    </row>
    <row r="25" spans="1:6" ht="12.75">
      <c r="A25" s="13">
        <v>38664</v>
      </c>
      <c r="B25" s="42">
        <v>107.81</v>
      </c>
      <c r="C25" s="20">
        <v>80</v>
      </c>
      <c r="D25" s="31">
        <f t="shared" si="1"/>
        <v>70.19</v>
      </c>
      <c r="E25" s="43">
        <f t="shared" si="0"/>
        <v>55</v>
      </c>
      <c r="F25">
        <v>179</v>
      </c>
    </row>
    <row r="26" spans="1:6" ht="12.75">
      <c r="A26" s="13">
        <v>38694</v>
      </c>
      <c r="B26" s="42">
        <v>212.39</v>
      </c>
      <c r="C26" s="20">
        <v>195</v>
      </c>
      <c r="D26" s="31">
        <f t="shared" si="1"/>
        <v>103.44</v>
      </c>
      <c r="E26" s="43">
        <f t="shared" si="0"/>
        <v>41</v>
      </c>
      <c r="F26">
        <v>477</v>
      </c>
    </row>
    <row r="27" spans="1:5" ht="12.75">
      <c r="A27" s="13">
        <v>38725</v>
      </c>
      <c r="B27" s="45">
        <v>380.13</v>
      </c>
      <c r="C27" s="20">
        <v>362</v>
      </c>
      <c r="D27" s="42">
        <f aca="true" t="shared" si="2" ref="D27:E29">B15-B27</f>
        <v>53.01999999999998</v>
      </c>
      <c r="E27" s="43">
        <f t="shared" si="2"/>
        <v>-43</v>
      </c>
    </row>
    <row r="28" spans="1:5" ht="12.75">
      <c r="A28" s="13">
        <v>38756</v>
      </c>
      <c r="B28" s="46">
        <v>386.89</v>
      </c>
      <c r="C28" s="20">
        <v>351</v>
      </c>
      <c r="D28" s="45">
        <f t="shared" si="2"/>
        <v>-3.329999999999984</v>
      </c>
      <c r="E28" s="43">
        <f t="shared" si="2"/>
        <v>-91</v>
      </c>
    </row>
    <row r="29" spans="1:5" ht="12.75">
      <c r="A29" s="13">
        <v>38784</v>
      </c>
      <c r="B29" s="46">
        <v>240.36</v>
      </c>
      <c r="C29" s="20">
        <v>206</v>
      </c>
      <c r="D29" s="45">
        <f t="shared" si="2"/>
        <v>71.53999999999996</v>
      </c>
      <c r="E29" s="43">
        <f t="shared" si="2"/>
        <v>22</v>
      </c>
    </row>
    <row r="30" spans="1:5" ht="12.75">
      <c r="A30" s="13">
        <v>38815</v>
      </c>
      <c r="B30" s="46">
        <v>89.01</v>
      </c>
      <c r="C30" s="20">
        <v>64</v>
      </c>
      <c r="D30" s="45">
        <f>B18-B6</f>
        <v>-43.02999999999999</v>
      </c>
      <c r="E30" s="43">
        <f>C6-C30</f>
        <v>32</v>
      </c>
    </row>
    <row r="31" spans="1:5" ht="12.75">
      <c r="A31" s="13">
        <v>38845</v>
      </c>
      <c r="B31" s="46">
        <v>38.99</v>
      </c>
      <c r="C31" s="20">
        <v>33</v>
      </c>
      <c r="D31" s="46">
        <f>B19-B7</f>
        <v>-38.25999999999999</v>
      </c>
      <c r="E31" s="43">
        <f>C7-C31</f>
        <v>0</v>
      </c>
    </row>
    <row r="32" spans="1:3" ht="12.75">
      <c r="A32" s="13">
        <v>38876</v>
      </c>
      <c r="B32" s="47">
        <v>42.05</v>
      </c>
      <c r="C32" s="20">
        <v>29</v>
      </c>
    </row>
    <row r="33" spans="1:3" ht="12.75">
      <c r="A33" s="13">
        <v>38906</v>
      </c>
      <c r="B33" s="47">
        <v>38.2</v>
      </c>
      <c r="C33" s="20">
        <v>24</v>
      </c>
    </row>
    <row r="34" spans="1:7" ht="12.75">
      <c r="A34" s="13">
        <v>38929</v>
      </c>
      <c r="B34" s="47">
        <v>35.96</v>
      </c>
      <c r="C34" s="20">
        <v>22</v>
      </c>
      <c r="D34" s="68">
        <f>AVERAGE(D14:D25)</f>
        <v>8.040833333333337</v>
      </c>
      <c r="E34" s="68">
        <f>AVERAGE(E14:E31)</f>
        <v>-7.444444444444445</v>
      </c>
      <c r="F34" s="89">
        <f>E34*M1</f>
        <v>-11.320090242526792</v>
      </c>
      <c r="G34" t="s">
        <v>255</v>
      </c>
    </row>
    <row r="35" spans="1:3" ht="12.75">
      <c r="A35" s="13">
        <v>38960</v>
      </c>
      <c r="B35" s="47">
        <v>42.29</v>
      </c>
      <c r="C35" s="20">
        <v>24</v>
      </c>
    </row>
    <row r="36" spans="1:3" ht="12.75">
      <c r="A36" s="80">
        <v>39010</v>
      </c>
      <c r="B36" s="79"/>
      <c r="C36" s="79">
        <v>34</v>
      </c>
    </row>
    <row r="37" spans="1:3" ht="12.75">
      <c r="A37" s="80">
        <v>39039</v>
      </c>
      <c r="B37" s="79"/>
      <c r="C37" s="79">
        <v>113</v>
      </c>
    </row>
    <row r="38" spans="1:3" ht="12.75">
      <c r="A38" s="80">
        <v>39071</v>
      </c>
      <c r="B38" s="79"/>
      <c r="C38" s="79">
        <v>312</v>
      </c>
    </row>
    <row r="39" spans="1:3" ht="12.75">
      <c r="A39" s="80">
        <v>39102</v>
      </c>
      <c r="B39" s="79"/>
      <c r="C39" s="79">
        <v>385</v>
      </c>
    </row>
    <row r="40" spans="1:3" ht="12.75">
      <c r="A40" s="80">
        <v>39130</v>
      </c>
      <c r="B40" s="79"/>
      <c r="C40" s="79">
        <v>286</v>
      </c>
    </row>
    <row r="41" spans="1:3" ht="12.75">
      <c r="A41" s="80">
        <v>39162</v>
      </c>
      <c r="B41" s="79"/>
      <c r="C41" s="79">
        <v>165</v>
      </c>
    </row>
    <row r="42" spans="1:3" ht="12.75">
      <c r="A42" s="80">
        <v>39191</v>
      </c>
      <c r="B42" s="79"/>
      <c r="C42" s="79">
        <v>114</v>
      </c>
    </row>
    <row r="43" spans="1:3" ht="12.75">
      <c r="A43" s="80">
        <v>39221</v>
      </c>
      <c r="B43" s="79"/>
      <c r="C43" s="79">
        <v>36</v>
      </c>
    </row>
    <row r="44" spans="1:3" ht="12.75">
      <c r="A44" s="80">
        <v>39253</v>
      </c>
      <c r="B44" s="79"/>
      <c r="C44" s="79">
        <v>28</v>
      </c>
    </row>
    <row r="45" spans="1:3" ht="12.75">
      <c r="A45" s="80">
        <v>39283</v>
      </c>
      <c r="B45" s="79"/>
      <c r="C45" s="79">
        <v>23</v>
      </c>
    </row>
    <row r="46" spans="1:3" ht="12.75">
      <c r="A46" s="80">
        <v>39315</v>
      </c>
      <c r="B46" s="79"/>
      <c r="C46" s="79">
        <v>25</v>
      </c>
    </row>
    <row r="47" spans="1:3" ht="12.75">
      <c r="A47" s="80">
        <v>39345</v>
      </c>
      <c r="B47" s="79"/>
      <c r="C47" s="79">
        <v>30</v>
      </c>
    </row>
    <row r="48" spans="1:3" ht="12.75">
      <c r="A48" s="80">
        <v>39375</v>
      </c>
      <c r="B48" s="79"/>
      <c r="C48" s="79">
        <v>39</v>
      </c>
    </row>
    <row r="49" spans="1:3" ht="12.75">
      <c r="A49" s="80">
        <v>39406</v>
      </c>
      <c r="B49" s="79"/>
      <c r="C49" s="79">
        <v>117</v>
      </c>
    </row>
    <row r="50" spans="1:3" ht="12.75">
      <c r="A50" s="80">
        <v>39435</v>
      </c>
      <c r="B50" s="79"/>
      <c r="C50" s="79">
        <v>168</v>
      </c>
    </row>
    <row r="51" spans="1:3" ht="12.75">
      <c r="A51" s="80">
        <v>39467</v>
      </c>
      <c r="B51" s="79"/>
      <c r="C51" s="79">
        <v>261</v>
      </c>
    </row>
    <row r="52" spans="1:3" ht="12.75">
      <c r="A52" s="80">
        <v>39498</v>
      </c>
      <c r="B52" s="79"/>
      <c r="C52" s="79">
        <v>246</v>
      </c>
    </row>
    <row r="53" spans="1:3" ht="12.75">
      <c r="A53" s="80">
        <v>39527</v>
      </c>
      <c r="B53" s="79"/>
      <c r="C53" s="79">
        <v>127</v>
      </c>
    </row>
    <row r="54" spans="1:3" ht="12.75">
      <c r="A54" s="80">
        <v>39557</v>
      </c>
      <c r="B54" s="79"/>
      <c r="C54" s="79">
        <v>65</v>
      </c>
    </row>
    <row r="55" spans="1:3" ht="12.75">
      <c r="A55" s="80">
        <v>39588</v>
      </c>
      <c r="B55" s="79"/>
      <c r="C55" s="79">
        <v>58</v>
      </c>
    </row>
    <row r="56" spans="1:3" ht="12.75">
      <c r="A56" s="80">
        <v>39618</v>
      </c>
      <c r="B56" s="79"/>
      <c r="C56" s="79">
        <v>34</v>
      </c>
    </row>
    <row r="57" spans="1:3" ht="12.75">
      <c r="A57" s="80">
        <v>39648</v>
      </c>
      <c r="B57" s="79"/>
      <c r="C57" s="79">
        <v>25</v>
      </c>
    </row>
    <row r="58" spans="1:5" ht="12.75">
      <c r="A58" s="80">
        <v>39680</v>
      </c>
      <c r="B58" s="79"/>
      <c r="C58" s="79">
        <v>29</v>
      </c>
      <c r="D58">
        <v>1740</v>
      </c>
      <c r="E58" t="s">
        <v>115</v>
      </c>
    </row>
    <row r="59" spans="1:4" ht="12.75">
      <c r="A59" s="80">
        <v>39710</v>
      </c>
      <c r="B59" s="79"/>
      <c r="C59" s="79">
        <v>34</v>
      </c>
      <c r="D59" s="17">
        <f>B58+D58</f>
        <v>1740</v>
      </c>
    </row>
  </sheetData>
  <printOptions/>
  <pageMargins left="0.75" right="0.75" top="1" bottom="1" header="0.5" footer="0.5"/>
  <pageSetup orientation="portrait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39" sqref="F39"/>
    </sheetView>
  </sheetViews>
  <sheetFormatPr defaultColWidth="11.00390625" defaultRowHeight="12.75"/>
  <cols>
    <col min="5" max="5" width="13.00390625" style="0" customWidth="1"/>
    <col min="6" max="6" width="10.75390625" style="32" customWidth="1"/>
    <col min="8" max="8" width="61.25390625" style="4" customWidth="1"/>
  </cols>
  <sheetData>
    <row r="1" spans="1:6" ht="12.75">
      <c r="A1" t="s">
        <v>230</v>
      </c>
      <c r="B1" t="s">
        <v>78</v>
      </c>
      <c r="C1" s="19" t="s">
        <v>36</v>
      </c>
      <c r="D1" s="19" t="s">
        <v>88</v>
      </c>
      <c r="E1" s="19" t="s">
        <v>89</v>
      </c>
      <c r="F1" s="32" t="s">
        <v>165</v>
      </c>
    </row>
    <row r="2" spans="1:7" ht="12.75">
      <c r="A2" s="7">
        <v>38562</v>
      </c>
      <c r="B2" s="21">
        <v>290</v>
      </c>
      <c r="C2">
        <v>1</v>
      </c>
      <c r="D2">
        <v>1</v>
      </c>
      <c r="E2">
        <v>0</v>
      </c>
      <c r="F2" s="32">
        <v>290</v>
      </c>
      <c r="G2" t="s">
        <v>163</v>
      </c>
    </row>
    <row r="3" spans="1:11" ht="25.5">
      <c r="A3" s="7">
        <v>38643</v>
      </c>
      <c r="B3" s="32">
        <v>2900</v>
      </c>
      <c r="C3">
        <v>10</v>
      </c>
      <c r="D3">
        <v>1</v>
      </c>
      <c r="E3">
        <v>9</v>
      </c>
      <c r="F3" s="32">
        <v>290</v>
      </c>
      <c r="G3" t="s">
        <v>35</v>
      </c>
      <c r="H3" s="4" t="s">
        <v>181</v>
      </c>
      <c r="I3" t="s">
        <v>114</v>
      </c>
      <c r="K3">
        <f>6*290</f>
        <v>1740</v>
      </c>
    </row>
    <row r="4" spans="1:6" ht="12.75">
      <c r="A4" s="7">
        <v>38593</v>
      </c>
      <c r="B4" s="32">
        <v>290</v>
      </c>
      <c r="C4">
        <v>1</v>
      </c>
      <c r="D4">
        <v>1</v>
      </c>
      <c r="E4">
        <v>0</v>
      </c>
      <c r="F4" s="32">
        <v>290</v>
      </c>
    </row>
    <row r="5" spans="1:6" ht="12.75">
      <c r="A5" s="7">
        <v>38729</v>
      </c>
      <c r="B5" s="32">
        <v>290</v>
      </c>
      <c r="C5">
        <v>1</v>
      </c>
      <c r="D5">
        <v>1</v>
      </c>
      <c r="E5">
        <v>0</v>
      </c>
      <c r="F5" s="32">
        <v>290</v>
      </c>
    </row>
    <row r="6" spans="1:6" ht="12.75">
      <c r="A6" s="7">
        <v>38849</v>
      </c>
      <c r="B6" s="32">
        <f>C6*F6</f>
        <v>570</v>
      </c>
      <c r="C6">
        <v>2</v>
      </c>
      <c r="D6">
        <v>1</v>
      </c>
      <c r="E6">
        <v>1</v>
      </c>
      <c r="F6" s="32">
        <v>285</v>
      </c>
    </row>
    <row r="7" spans="1:6" ht="12.75">
      <c r="A7" s="7">
        <v>38941</v>
      </c>
      <c r="B7" s="32">
        <v>825</v>
      </c>
      <c r="C7">
        <v>3</v>
      </c>
      <c r="D7">
        <v>2</v>
      </c>
      <c r="E7">
        <v>1</v>
      </c>
      <c r="F7" s="32">
        <v>275</v>
      </c>
    </row>
    <row r="8" spans="1:6" ht="12.75">
      <c r="A8" s="7">
        <v>39037</v>
      </c>
      <c r="B8" s="32">
        <f>C8*F8</f>
        <v>567</v>
      </c>
      <c r="C8">
        <f>D8+E8</f>
        <v>2</v>
      </c>
      <c r="D8">
        <v>1</v>
      </c>
      <c r="E8">
        <v>1</v>
      </c>
      <c r="F8" s="32">
        <v>283.5</v>
      </c>
    </row>
    <row r="9" spans="1:6" ht="12.75">
      <c r="A9" s="7">
        <v>39134</v>
      </c>
      <c r="B9" s="32">
        <f aca="true" t="shared" si="0" ref="B9:B26">C9*F9</f>
        <v>310</v>
      </c>
      <c r="C9">
        <f aca="true" t="shared" si="1" ref="C9:C26">D9+E9</f>
        <v>2</v>
      </c>
      <c r="D9">
        <v>1</v>
      </c>
      <c r="E9">
        <v>1</v>
      </c>
      <c r="F9" s="32">
        <v>155</v>
      </c>
    </row>
    <row r="10" spans="1:6" ht="12.75">
      <c r="A10" s="7">
        <v>39219</v>
      </c>
      <c r="B10" s="32">
        <f t="shared" si="0"/>
        <v>80</v>
      </c>
      <c r="C10">
        <f t="shared" si="1"/>
        <v>2</v>
      </c>
      <c r="D10">
        <v>1</v>
      </c>
      <c r="E10">
        <v>1</v>
      </c>
      <c r="F10" s="32">
        <v>40</v>
      </c>
    </row>
    <row r="11" spans="1:6" ht="12.75">
      <c r="A11" s="7">
        <v>39312</v>
      </c>
      <c r="B11" s="32">
        <v>195</v>
      </c>
      <c r="C11">
        <v>1</v>
      </c>
      <c r="D11">
        <v>1</v>
      </c>
      <c r="E11">
        <v>0</v>
      </c>
      <c r="F11" s="32">
        <v>195</v>
      </c>
    </row>
    <row r="12" spans="1:8" ht="12.75">
      <c r="A12" s="7">
        <v>39387</v>
      </c>
      <c r="B12" s="32">
        <v>6000</v>
      </c>
      <c r="C12">
        <f t="shared" si="1"/>
        <v>40</v>
      </c>
      <c r="E12">
        <f>B12/F12</f>
        <v>40</v>
      </c>
      <c r="F12" s="32">
        <v>150</v>
      </c>
      <c r="H12" s="4" t="s">
        <v>7</v>
      </c>
    </row>
    <row r="13" spans="1:6" ht="12.75">
      <c r="A13" s="7">
        <v>39325</v>
      </c>
      <c r="B13" s="32">
        <f t="shared" si="0"/>
        <v>210</v>
      </c>
      <c r="C13">
        <f t="shared" si="1"/>
        <v>1</v>
      </c>
      <c r="D13">
        <v>1</v>
      </c>
      <c r="F13" s="32">
        <v>210</v>
      </c>
    </row>
    <row r="14" spans="1:6" ht="12.75">
      <c r="A14" s="7">
        <v>39355</v>
      </c>
      <c r="B14" s="32">
        <f t="shared" si="0"/>
        <v>210</v>
      </c>
      <c r="C14">
        <f t="shared" si="1"/>
        <v>1</v>
      </c>
      <c r="D14">
        <v>1</v>
      </c>
      <c r="F14" s="32">
        <v>210</v>
      </c>
    </row>
    <row r="15" spans="1:6" ht="12.75">
      <c r="A15" s="7">
        <v>39478</v>
      </c>
      <c r="B15" s="32">
        <f t="shared" si="0"/>
        <v>227.5</v>
      </c>
      <c r="C15">
        <f t="shared" si="1"/>
        <v>1</v>
      </c>
      <c r="D15">
        <v>1</v>
      </c>
      <c r="F15" s="32">
        <v>227.5</v>
      </c>
    </row>
    <row r="16" spans="1:6" ht="12.75">
      <c r="A16" s="7">
        <v>39538</v>
      </c>
      <c r="B16" s="32">
        <f t="shared" si="0"/>
        <v>205</v>
      </c>
      <c r="C16">
        <f t="shared" si="1"/>
        <v>1</v>
      </c>
      <c r="D16">
        <v>1</v>
      </c>
      <c r="F16" s="32">
        <v>205</v>
      </c>
    </row>
    <row r="17" spans="1:6" ht="12.75">
      <c r="A17" s="7">
        <v>39629</v>
      </c>
      <c r="B17" s="32">
        <f t="shared" si="0"/>
        <v>255</v>
      </c>
      <c r="C17">
        <f t="shared" si="1"/>
        <v>1</v>
      </c>
      <c r="D17">
        <v>1</v>
      </c>
      <c r="F17" s="32">
        <v>255</v>
      </c>
    </row>
    <row r="18" spans="1:6" ht="12.75">
      <c r="A18" s="7">
        <v>39691</v>
      </c>
      <c r="B18" s="32">
        <f t="shared" si="0"/>
        <v>255</v>
      </c>
      <c r="C18">
        <f t="shared" si="1"/>
        <v>1</v>
      </c>
      <c r="D18">
        <v>1</v>
      </c>
      <c r="F18" s="32">
        <v>255</v>
      </c>
    </row>
    <row r="19" spans="1:6" ht="12.75">
      <c r="A19" s="7">
        <v>39782</v>
      </c>
      <c r="B19" s="32">
        <f t="shared" si="0"/>
        <v>290</v>
      </c>
      <c r="C19">
        <f t="shared" si="1"/>
        <v>1</v>
      </c>
      <c r="D19">
        <v>1</v>
      </c>
      <c r="F19" s="32">
        <v>290</v>
      </c>
    </row>
    <row r="20" spans="1:6" ht="12.75">
      <c r="A20" s="7">
        <v>39872</v>
      </c>
      <c r="B20" s="32">
        <f t="shared" si="0"/>
        <v>300</v>
      </c>
      <c r="C20">
        <f t="shared" si="1"/>
        <v>1</v>
      </c>
      <c r="D20">
        <v>1</v>
      </c>
      <c r="F20" s="32">
        <v>300</v>
      </c>
    </row>
    <row r="21" spans="1:6" ht="12.75">
      <c r="A21" s="7">
        <v>39933</v>
      </c>
      <c r="B21" s="32">
        <f t="shared" si="0"/>
        <v>315</v>
      </c>
      <c r="C21">
        <f t="shared" si="1"/>
        <v>1</v>
      </c>
      <c r="D21">
        <v>1</v>
      </c>
      <c r="F21" s="82">
        <v>315</v>
      </c>
    </row>
    <row r="22" spans="1:6" ht="12.75">
      <c r="A22" s="7">
        <v>40141</v>
      </c>
      <c r="B22" s="82">
        <f t="shared" si="0"/>
        <v>305</v>
      </c>
      <c r="C22">
        <f t="shared" si="1"/>
        <v>1</v>
      </c>
      <c r="D22">
        <v>1</v>
      </c>
      <c r="F22" s="32">
        <v>305</v>
      </c>
    </row>
    <row r="23" spans="1:6" ht="12.75">
      <c r="A23" s="7">
        <v>40233</v>
      </c>
      <c r="B23" s="82">
        <f t="shared" si="0"/>
        <v>315</v>
      </c>
      <c r="C23">
        <f t="shared" si="1"/>
        <v>1</v>
      </c>
      <c r="D23">
        <v>1</v>
      </c>
      <c r="F23" s="82">
        <v>315</v>
      </c>
    </row>
    <row r="24" spans="1:6" ht="12.75">
      <c r="A24" s="7">
        <v>40326</v>
      </c>
      <c r="B24" s="82">
        <f t="shared" si="0"/>
        <v>300</v>
      </c>
      <c r="C24">
        <f t="shared" si="1"/>
        <v>1</v>
      </c>
      <c r="D24">
        <v>1</v>
      </c>
      <c r="F24" s="82">
        <v>300</v>
      </c>
    </row>
    <row r="25" spans="1:6" ht="12.75">
      <c r="A25" s="7">
        <v>40418</v>
      </c>
      <c r="B25" s="82">
        <f t="shared" si="0"/>
        <v>800</v>
      </c>
      <c r="C25">
        <f t="shared" si="1"/>
        <v>2</v>
      </c>
      <c r="D25">
        <v>2</v>
      </c>
      <c r="F25" s="82">
        <v>400</v>
      </c>
    </row>
    <row r="26" spans="1:6" ht="12.75">
      <c r="A26" s="7">
        <v>40502</v>
      </c>
      <c r="B26" s="82">
        <f t="shared" si="0"/>
        <v>800</v>
      </c>
      <c r="C26">
        <f t="shared" si="1"/>
        <v>2</v>
      </c>
      <c r="D26">
        <v>2</v>
      </c>
      <c r="F26" s="82">
        <v>400</v>
      </c>
    </row>
    <row r="27" spans="1:6" ht="12.75">
      <c r="A27" s="7"/>
      <c r="B27" s="82"/>
      <c r="F27" s="82"/>
    </row>
    <row r="28" spans="1:6" ht="12.75">
      <c r="A28" s="7"/>
      <c r="B28" s="82"/>
      <c r="F28" s="82"/>
    </row>
    <row r="29" spans="1:6" ht="12.75">
      <c r="A29" s="7"/>
      <c r="B29" s="82"/>
      <c r="F29" s="82"/>
    </row>
    <row r="30" spans="1:6" ht="12.75">
      <c r="A30" s="7"/>
      <c r="B30" s="82"/>
      <c r="F30" s="82"/>
    </row>
    <row r="31" spans="1:6" ht="12.75">
      <c r="A31" s="7"/>
      <c r="D31">
        <f>SUM(D2:D30)</f>
        <v>27</v>
      </c>
      <c r="E31">
        <f>SUM(E2:E27)</f>
        <v>54</v>
      </c>
      <c r="F31" s="32" t="s">
        <v>119</v>
      </c>
    </row>
    <row r="32" spans="1:6" ht="12.75">
      <c r="A32" s="7"/>
      <c r="F32" s="82"/>
    </row>
    <row r="33" spans="1:6" ht="12.75">
      <c r="A33" t="s">
        <v>37</v>
      </c>
      <c r="B33" s="33">
        <f>SUM(B2:B32)</f>
        <v>17104.5</v>
      </c>
      <c r="C33">
        <f>SUM(C2:C26)</f>
        <v>81</v>
      </c>
      <c r="D33" s="33">
        <f>SUMPRODUCT(D2:D21,F2:F21)</f>
        <v>4936</v>
      </c>
      <c r="E33" s="33">
        <f>SUMPRODUCT(E2:E11,F2:F11)+E12*F12</f>
        <v>9648.5</v>
      </c>
      <c r="F33" s="32">
        <f>D33+E33</f>
        <v>14584.5</v>
      </c>
    </row>
    <row r="38" ht="12.75">
      <c r="F38" s="32" t="s">
        <v>119</v>
      </c>
    </row>
    <row r="39" spans="1:6" ht="12.75">
      <c r="A39" t="s">
        <v>84</v>
      </c>
      <c r="D39" s="33">
        <f>D33/4</f>
        <v>1234</v>
      </c>
      <c r="E39" s="33">
        <f>E33/3</f>
        <v>3216.1666666666665</v>
      </c>
      <c r="F39" s="32">
        <f>D39+E39</f>
        <v>4450.166666666666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">
      <selection activeCell="A8" sqref="A8"/>
    </sheetView>
  </sheetViews>
  <sheetFormatPr defaultColWidth="11.00390625" defaultRowHeight="12.75"/>
  <cols>
    <col min="1" max="1" width="23.875" style="0" customWidth="1"/>
  </cols>
  <sheetData>
    <row r="2" ht="12.75">
      <c r="A2" s="29" t="s">
        <v>101</v>
      </c>
    </row>
    <row r="3" ht="12.75">
      <c r="A3" t="s">
        <v>56</v>
      </c>
    </row>
    <row r="4" ht="12.75">
      <c r="A4" t="s">
        <v>153</v>
      </c>
    </row>
    <row r="5" ht="12.75">
      <c r="A5" t="s">
        <v>140</v>
      </c>
    </row>
    <row r="6" ht="12.75">
      <c r="A6" t="s">
        <v>102</v>
      </c>
    </row>
    <row r="7" ht="12.75">
      <c r="A7" t="s">
        <v>145</v>
      </c>
    </row>
    <row r="12" spans="1:2" ht="12.75">
      <c r="A12" t="s">
        <v>71</v>
      </c>
      <c r="B12">
        <v>0.96</v>
      </c>
    </row>
    <row r="13" spans="1:2" ht="12.75">
      <c r="A13" t="s">
        <v>147</v>
      </c>
      <c r="B13">
        <v>4.6</v>
      </c>
    </row>
    <row r="14" spans="1:2" ht="25.5">
      <c r="A14" s="4" t="s">
        <v>91</v>
      </c>
      <c r="B14" s="41">
        <f>(32+1363*0.07)/1363</f>
        <v>0.09347762289068233</v>
      </c>
    </row>
    <row r="18" ht="12.75">
      <c r="A18" t="s">
        <v>217</v>
      </c>
    </row>
    <row r="21" ht="12.75">
      <c r="A21" t="s">
        <v>86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E4" sqref="E4"/>
    </sheetView>
  </sheetViews>
  <sheetFormatPr defaultColWidth="11.00390625" defaultRowHeight="12.75"/>
  <cols>
    <col min="2" max="2" width="16.125" style="30" customWidth="1"/>
  </cols>
  <sheetData>
    <row r="1" spans="2:3" ht="12.75">
      <c r="B1" s="30" t="s">
        <v>34</v>
      </c>
      <c r="C1" t="s">
        <v>268</v>
      </c>
    </row>
    <row r="2" spans="1:3" ht="12.75">
      <c r="A2" s="13">
        <v>38053</v>
      </c>
      <c r="B2" s="30">
        <v>87.97</v>
      </c>
      <c r="C2">
        <v>7</v>
      </c>
    </row>
    <row r="3" spans="1:5" ht="12.75">
      <c r="A3" s="13">
        <v>38084</v>
      </c>
      <c r="B3" s="30">
        <v>147.36</v>
      </c>
      <c r="C3">
        <v>14</v>
      </c>
      <c r="E3" t="s">
        <v>53</v>
      </c>
    </row>
    <row r="4" spans="1:3" ht="12.75">
      <c r="A4" s="13">
        <v>38114</v>
      </c>
      <c r="B4" s="30">
        <v>131.36</v>
      </c>
      <c r="C4">
        <v>11</v>
      </c>
    </row>
    <row r="5" spans="1:3" ht="12.75">
      <c r="A5" s="13">
        <v>38145</v>
      </c>
      <c r="B5" s="30">
        <v>146.54</v>
      </c>
      <c r="C5">
        <v>14</v>
      </c>
    </row>
    <row r="6" spans="1:3" ht="12.75">
      <c r="A6" s="13">
        <v>38175</v>
      </c>
      <c r="B6" s="30">
        <v>225.33</v>
      </c>
      <c r="C6">
        <v>23</v>
      </c>
    </row>
    <row r="7" spans="1:3" ht="12.75">
      <c r="A7" s="13">
        <v>38206</v>
      </c>
      <c r="B7" s="30">
        <v>119.08</v>
      </c>
      <c r="C7">
        <v>10</v>
      </c>
    </row>
    <row r="8" spans="1:3" ht="12.75">
      <c r="A8" s="13">
        <v>38237</v>
      </c>
      <c r="B8" s="30">
        <v>182.18</v>
      </c>
      <c r="C8">
        <v>17</v>
      </c>
    </row>
    <row r="9" spans="1:3" ht="12.75">
      <c r="A9" s="13">
        <v>38267</v>
      </c>
      <c r="B9" s="30">
        <v>135.81</v>
      </c>
      <c r="C9">
        <v>12</v>
      </c>
    </row>
    <row r="10" spans="1:3" ht="12.75">
      <c r="A10" s="13">
        <v>38298</v>
      </c>
      <c r="B10" s="30">
        <v>161.34</v>
      </c>
      <c r="C10">
        <v>15</v>
      </c>
    </row>
    <row r="11" spans="1:3" ht="12.75">
      <c r="A11" s="13">
        <v>38328</v>
      </c>
      <c r="B11" s="30">
        <v>111.13</v>
      </c>
      <c r="C11">
        <v>9</v>
      </c>
    </row>
    <row r="12" spans="1:3" ht="12.75">
      <c r="A12" s="13">
        <v>38359</v>
      </c>
      <c r="B12" s="30">
        <v>96.02</v>
      </c>
      <c r="C12">
        <v>7</v>
      </c>
    </row>
    <row r="13" spans="1:3" ht="12.75">
      <c r="A13" s="13">
        <v>38390</v>
      </c>
      <c r="B13" s="30">
        <v>100.69</v>
      </c>
      <c r="C13">
        <v>8</v>
      </c>
    </row>
    <row r="14" spans="1:3" ht="12.75">
      <c r="A14" s="13">
        <v>38418</v>
      </c>
      <c r="B14" s="30">
        <v>102.35</v>
      </c>
      <c r="C14">
        <v>8</v>
      </c>
    </row>
    <row r="15" spans="1:3" ht="12.75">
      <c r="A15" s="13">
        <v>38449</v>
      </c>
      <c r="B15" s="30">
        <v>91.91</v>
      </c>
      <c r="C15">
        <v>7</v>
      </c>
    </row>
    <row r="16" spans="1:3" ht="12.75">
      <c r="A16" s="13">
        <v>38479</v>
      </c>
      <c r="B16" s="30">
        <v>119.08</v>
      </c>
      <c r="C16">
        <v>10</v>
      </c>
    </row>
    <row r="17" spans="1:3" ht="12.75">
      <c r="A17" s="13">
        <v>38510</v>
      </c>
      <c r="B17" s="30">
        <v>108.66</v>
      </c>
      <c r="C17">
        <v>8</v>
      </c>
    </row>
    <row r="18" spans="1:3" ht="12.75">
      <c r="A18" s="13">
        <v>38540</v>
      </c>
      <c r="B18" s="30">
        <v>142.23</v>
      </c>
      <c r="C18">
        <v>11</v>
      </c>
    </row>
    <row r="19" spans="1:3" ht="12.75">
      <c r="A19" s="13">
        <v>38571</v>
      </c>
      <c r="B19" s="30">
        <v>143.45</v>
      </c>
      <c r="C19">
        <v>11</v>
      </c>
    </row>
    <row r="20" spans="1:3" ht="12.75">
      <c r="A20" s="13">
        <v>38602</v>
      </c>
      <c r="B20" s="30">
        <v>117.97</v>
      </c>
      <c r="C20">
        <v>8</v>
      </c>
    </row>
    <row r="21" spans="1:3" ht="12.75">
      <c r="A21" s="13">
        <v>38632</v>
      </c>
      <c r="B21" s="30">
        <v>105.21</v>
      </c>
      <c r="C21">
        <v>7</v>
      </c>
    </row>
    <row r="22" ht="12.75">
      <c r="A22" s="13">
        <v>38663</v>
      </c>
    </row>
    <row r="23" ht="12.75">
      <c r="A23" s="13">
        <v>38693</v>
      </c>
    </row>
    <row r="24" ht="12.75">
      <c r="A24" s="13">
        <v>38724</v>
      </c>
    </row>
    <row r="25" ht="12.75">
      <c r="A25" s="13">
        <v>38755</v>
      </c>
    </row>
    <row r="26" ht="12.75">
      <c r="A26" s="13">
        <v>38783</v>
      </c>
    </row>
    <row r="27" ht="12.75">
      <c r="A27" s="13">
        <v>38814</v>
      </c>
    </row>
    <row r="28" ht="12.75">
      <c r="A28" s="13">
        <v>38844</v>
      </c>
    </row>
    <row r="29" ht="12.75">
      <c r="A29" s="13">
        <v>38875</v>
      </c>
    </row>
    <row r="30" ht="12.75">
      <c r="A30" s="13">
        <v>38905</v>
      </c>
    </row>
    <row r="31" ht="12.75">
      <c r="A31" s="13">
        <v>38936</v>
      </c>
    </row>
    <row r="32" ht="12.75">
      <c r="A32" s="13">
        <v>38967</v>
      </c>
    </row>
    <row r="33" ht="12.75">
      <c r="A33" s="13">
        <v>38997</v>
      </c>
    </row>
    <row r="34" ht="12.75">
      <c r="A34" s="13">
        <v>39028</v>
      </c>
    </row>
    <row r="35" ht="12.75">
      <c r="A35" s="13">
        <v>39058</v>
      </c>
    </row>
    <row r="36" ht="12.75">
      <c r="A36" s="13">
        <v>39089</v>
      </c>
    </row>
    <row r="37" ht="12.75">
      <c r="A37" s="13">
        <v>39120</v>
      </c>
    </row>
    <row r="38" ht="12.75">
      <c r="A38" s="13">
        <v>39148</v>
      </c>
    </row>
    <row r="39" ht="12.75">
      <c r="A39" s="13">
        <v>39179</v>
      </c>
    </row>
    <row r="40" ht="12.75">
      <c r="A40" s="13">
        <v>39209</v>
      </c>
    </row>
    <row r="41" ht="12.75">
      <c r="A41" s="13">
        <v>39240</v>
      </c>
    </row>
    <row r="42" ht="12.75">
      <c r="A42" s="13">
        <v>39270</v>
      </c>
    </row>
    <row r="43" ht="12.75">
      <c r="A43" s="13">
        <v>39301</v>
      </c>
    </row>
    <row r="44" ht="12.75">
      <c r="A44" s="13">
        <v>39332</v>
      </c>
    </row>
    <row r="45" ht="12.75">
      <c r="A45" s="13">
        <v>39362</v>
      </c>
    </row>
    <row r="46" ht="12.75">
      <c r="A46" s="13">
        <v>39393</v>
      </c>
    </row>
    <row r="47" ht="12.75">
      <c r="A47" s="13">
        <v>39423</v>
      </c>
    </row>
    <row r="48" ht="12.75">
      <c r="A48" s="13">
        <v>39454</v>
      </c>
    </row>
    <row r="49" ht="12.75">
      <c r="A49" s="13">
        <v>39485</v>
      </c>
    </row>
    <row r="50" ht="12.75">
      <c r="A50" s="13">
        <v>39514</v>
      </c>
    </row>
    <row r="51" ht="12.75">
      <c r="A51" s="13">
        <v>39545</v>
      </c>
    </row>
    <row r="52" ht="12.75">
      <c r="A52" s="13">
        <v>39575</v>
      </c>
    </row>
    <row r="53" ht="12.75">
      <c r="A53" s="13">
        <v>39606</v>
      </c>
    </row>
    <row r="54" ht="12.75">
      <c r="A54" s="13">
        <v>39636</v>
      </c>
    </row>
    <row r="55" ht="12.75">
      <c r="A55" s="13">
        <v>39667</v>
      </c>
    </row>
    <row r="56" ht="12.75">
      <c r="A56" s="13">
        <v>39698</v>
      </c>
    </row>
    <row r="57" ht="12.75">
      <c r="A57" s="13">
        <v>39728</v>
      </c>
    </row>
    <row r="58" ht="12.75">
      <c r="A58" s="13">
        <v>39759</v>
      </c>
    </row>
    <row r="59" ht="12.75">
      <c r="A59" s="13">
        <v>39789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workbookViewId="0" topLeftCell="A1">
      <selection activeCell="B7" sqref="B7"/>
    </sheetView>
  </sheetViews>
  <sheetFormatPr defaultColWidth="11.00390625" defaultRowHeight="12.75"/>
  <cols>
    <col min="1" max="1" width="47.125" style="0" customWidth="1"/>
    <col min="2" max="2" width="14.375" style="38" customWidth="1"/>
    <col min="3" max="3" width="22.625" style="0" customWidth="1"/>
    <col min="5" max="5" width="25.125" style="0" bestFit="1" customWidth="1"/>
    <col min="7" max="7" width="25.125" style="0" bestFit="1" customWidth="1"/>
  </cols>
  <sheetData>
    <row r="1" spans="1:8" ht="21">
      <c r="A1" s="44" t="s">
        <v>174</v>
      </c>
      <c r="B1" s="35"/>
      <c r="C1" s="34"/>
      <c r="D1" s="91"/>
      <c r="E1" s="92" t="s">
        <v>54</v>
      </c>
      <c r="F1" s="91"/>
      <c r="G1" s="91"/>
      <c r="H1" s="91"/>
    </row>
    <row r="2" spans="1:8" ht="21">
      <c r="A2" s="44" t="s">
        <v>124</v>
      </c>
      <c r="B2" s="35"/>
      <c r="C2" s="34"/>
      <c r="D2" s="91"/>
      <c r="E2" s="91" t="s">
        <v>0</v>
      </c>
      <c r="F2" s="91"/>
      <c r="G2" s="91" t="s">
        <v>1</v>
      </c>
      <c r="H2" s="91"/>
    </row>
    <row r="3" spans="1:8" ht="21">
      <c r="A3" s="34" t="s">
        <v>135</v>
      </c>
      <c r="B3" s="35">
        <v>30000</v>
      </c>
      <c r="C3" s="34"/>
      <c r="D3" s="91" t="s">
        <v>2</v>
      </c>
      <c r="E3" s="91">
        <v>20</v>
      </c>
      <c r="F3" s="91"/>
      <c r="G3" s="91">
        <f>E3</f>
        <v>20</v>
      </c>
      <c r="H3" s="91"/>
    </row>
    <row r="4" spans="1:8" ht="21">
      <c r="A4" s="34" t="s">
        <v>25</v>
      </c>
      <c r="B4" s="35">
        <f>B3*0.3</f>
        <v>9000</v>
      </c>
      <c r="C4" s="34"/>
      <c r="D4" s="91"/>
      <c r="E4" s="91"/>
      <c r="F4" s="91"/>
      <c r="G4" s="91"/>
      <c r="H4" s="91"/>
    </row>
    <row r="5" spans="1:8" ht="21">
      <c r="A5" s="34" t="s">
        <v>273</v>
      </c>
      <c r="B5" s="35">
        <f>4.5*350</f>
        <v>1575</v>
      </c>
      <c r="C5" s="34" t="s">
        <v>146</v>
      </c>
      <c r="D5" s="91"/>
      <c r="E5" s="93">
        <f>E3*200*2.5</f>
        <v>10000</v>
      </c>
      <c r="F5" s="91"/>
      <c r="G5" s="93">
        <f>G3*200*4.25</f>
        <v>17000</v>
      </c>
      <c r="H5" s="91"/>
    </row>
    <row r="6" spans="1:8" ht="21">
      <c r="A6" s="34" t="s">
        <v>274</v>
      </c>
      <c r="B6" s="35">
        <f>5000*0.13*1.1</f>
        <v>715.0000000000001</v>
      </c>
      <c r="C6" s="34"/>
      <c r="D6" s="91"/>
      <c r="E6" s="93">
        <f>E5*0.3</f>
        <v>3000</v>
      </c>
      <c r="F6" s="91"/>
      <c r="G6" s="93">
        <f>G5*0.3</f>
        <v>5100</v>
      </c>
      <c r="H6" s="91"/>
    </row>
    <row r="7" spans="1:8" ht="21">
      <c r="A7" s="34" t="s">
        <v>81</v>
      </c>
      <c r="B7" s="40">
        <f>(B3-B4)/(B5+B6)</f>
        <v>9.170305676855895</v>
      </c>
      <c r="D7" s="91" t="s">
        <v>3</v>
      </c>
      <c r="E7" s="93">
        <f>E5*0.2</f>
        <v>2000</v>
      </c>
      <c r="F7" s="91"/>
      <c r="G7" s="93">
        <f>G5*0.3</f>
        <v>5100</v>
      </c>
      <c r="H7" s="91" t="s">
        <v>58</v>
      </c>
    </row>
    <row r="8" spans="1:8" ht="18.75" customHeight="1">
      <c r="A8" s="34"/>
      <c r="B8" s="36"/>
      <c r="D8" s="91" t="s">
        <v>59</v>
      </c>
      <c r="E8" s="93">
        <f>E5-E6-E7</f>
        <v>5000</v>
      </c>
      <c r="F8" s="91"/>
      <c r="G8" s="93">
        <f>G5-G6-G7</f>
        <v>6800</v>
      </c>
      <c r="H8" s="91"/>
    </row>
    <row r="9" spans="1:8" ht="21">
      <c r="A9" s="37" t="s">
        <v>266</v>
      </c>
      <c r="B9" s="35"/>
      <c r="C9" s="34"/>
      <c r="D9" s="91"/>
      <c r="E9" s="91"/>
      <c r="F9" s="91"/>
      <c r="G9" s="91"/>
      <c r="H9" s="91"/>
    </row>
    <row r="10" spans="1:8" ht="21">
      <c r="A10" s="90" t="s">
        <v>87</v>
      </c>
      <c r="B10" s="35"/>
      <c r="C10" s="34"/>
      <c r="D10" s="91" t="s">
        <v>60</v>
      </c>
      <c r="E10" s="91"/>
      <c r="F10" s="91"/>
      <c r="G10" s="91"/>
      <c r="H10" s="91"/>
    </row>
    <row r="11" spans="1:8" ht="21">
      <c r="A11" s="34"/>
      <c r="B11" s="35"/>
      <c r="C11" s="34"/>
      <c r="D11" s="91" t="s">
        <v>61</v>
      </c>
      <c r="E11" s="93">
        <f>B5/10/16*E3</f>
        <v>196.875</v>
      </c>
      <c r="F11" s="91"/>
      <c r="G11" s="93">
        <f>B5/10/16*G3</f>
        <v>196.875</v>
      </c>
      <c r="H11" s="91"/>
    </row>
    <row r="12" spans="1:8" ht="21">
      <c r="A12" s="34" t="s">
        <v>49</v>
      </c>
      <c r="B12" s="35">
        <v>9000</v>
      </c>
      <c r="C12" s="34"/>
      <c r="D12" s="91" t="s">
        <v>62</v>
      </c>
      <c r="E12" s="93">
        <f>B6*1.2/16*E3</f>
        <v>1072.5000000000002</v>
      </c>
      <c r="F12" s="91"/>
      <c r="G12" s="93">
        <f>B6*1.2/16*G3</f>
        <v>1072.5000000000002</v>
      </c>
      <c r="H12" s="91"/>
    </row>
    <row r="13" spans="1:8" ht="21">
      <c r="A13" s="34" t="s">
        <v>25</v>
      </c>
      <c r="B13" s="35">
        <f>B12*0.3</f>
        <v>2700</v>
      </c>
      <c r="C13" s="34"/>
      <c r="D13" s="91"/>
      <c r="E13" s="91"/>
      <c r="F13" s="91"/>
      <c r="G13" s="91"/>
      <c r="H13" s="91"/>
    </row>
    <row r="14" spans="1:8" ht="21">
      <c r="A14" s="34" t="s">
        <v>50</v>
      </c>
      <c r="B14" s="35">
        <f>6*250</f>
        <v>1500</v>
      </c>
      <c r="C14" s="34" t="s">
        <v>55</v>
      </c>
      <c r="D14" s="91" t="s">
        <v>38</v>
      </c>
      <c r="E14" s="94">
        <f>E11+E12</f>
        <v>1269.3750000000002</v>
      </c>
      <c r="F14" s="91"/>
      <c r="G14" s="94">
        <f>G11+G12</f>
        <v>1269.3750000000002</v>
      </c>
      <c r="H14" s="91"/>
    </row>
    <row r="15" spans="1:8" ht="21">
      <c r="A15" s="34" t="s">
        <v>204</v>
      </c>
      <c r="B15" s="35">
        <v>300</v>
      </c>
      <c r="C15" s="34"/>
      <c r="D15" s="91"/>
      <c r="E15" s="91"/>
      <c r="F15" s="91"/>
      <c r="G15" s="91"/>
      <c r="H15" s="91"/>
    </row>
    <row r="16" spans="1:8" ht="21">
      <c r="A16" s="34" t="s">
        <v>148</v>
      </c>
      <c r="B16" s="39">
        <f>(B12-B13)/(B14+B15)</f>
        <v>3.5</v>
      </c>
      <c r="C16" s="34"/>
      <c r="D16" s="91" t="s">
        <v>39</v>
      </c>
      <c r="E16" s="95">
        <f>E8/E14</f>
        <v>3.938946331856228</v>
      </c>
      <c r="F16" s="91"/>
      <c r="G16" s="95">
        <f>G8/G14</f>
        <v>5.356967011324469</v>
      </c>
      <c r="H16" s="91"/>
    </row>
    <row r="17" spans="1:3" ht="21">
      <c r="A17" s="34"/>
      <c r="B17" s="35"/>
      <c r="C17" s="34"/>
    </row>
    <row r="18" spans="1:3" ht="21">
      <c r="A18" s="34"/>
      <c r="B18" s="35"/>
      <c r="C18" s="34"/>
    </row>
    <row r="19" spans="1:3" ht="21">
      <c r="A19" s="34"/>
      <c r="B19" s="35"/>
      <c r="C19" s="34"/>
    </row>
    <row r="20" spans="1:3" ht="21">
      <c r="A20" s="44" t="s">
        <v>175</v>
      </c>
      <c r="B20" s="35"/>
      <c r="C20" s="34"/>
    </row>
    <row r="21" spans="1:3" ht="21">
      <c r="A21" s="34" t="s">
        <v>63</v>
      </c>
      <c r="B21" s="35">
        <v>30000</v>
      </c>
      <c r="C21" s="34"/>
    </row>
    <row r="22" spans="1:3" ht="21">
      <c r="A22" s="34" t="s">
        <v>139</v>
      </c>
      <c r="B22" s="35">
        <f>B21*0.3+2*3000</f>
        <v>15000</v>
      </c>
      <c r="C22" s="34"/>
    </row>
    <row r="23" spans="1:3" ht="21">
      <c r="A23" s="34" t="s">
        <v>273</v>
      </c>
      <c r="B23" s="35">
        <f>B5</f>
        <v>1575</v>
      </c>
      <c r="C23" s="34" t="s">
        <v>146</v>
      </c>
    </row>
    <row r="24" spans="1:3" ht="21">
      <c r="A24" s="34" t="s">
        <v>274</v>
      </c>
      <c r="B24" s="35">
        <f>B6</f>
        <v>715.0000000000001</v>
      </c>
      <c r="C24" s="34"/>
    </row>
    <row r="25" spans="1:3" ht="21">
      <c r="A25" s="34" t="s">
        <v>81</v>
      </c>
      <c r="B25" s="40">
        <f>(B21-B22)/(B23+B24)</f>
        <v>6.550218340611353</v>
      </c>
      <c r="C25" s="34"/>
    </row>
    <row r="26" spans="1:3" ht="21">
      <c r="A26" s="34"/>
      <c r="B26" s="35"/>
      <c r="C26" s="34"/>
    </row>
    <row r="27" spans="1:3" ht="21">
      <c r="A27" s="34" t="s">
        <v>72</v>
      </c>
      <c r="B27" s="35">
        <v>9000</v>
      </c>
      <c r="C27" s="34"/>
    </row>
    <row r="28" spans="1:3" ht="21">
      <c r="A28" s="34" t="s">
        <v>139</v>
      </c>
      <c r="B28" s="35">
        <f>B27*0.3+2000</f>
        <v>4700</v>
      </c>
      <c r="C28" s="34"/>
    </row>
    <row r="29" spans="1:3" ht="21">
      <c r="A29" s="34" t="s">
        <v>50</v>
      </c>
      <c r="B29" s="35">
        <f>B14</f>
        <v>1500</v>
      </c>
      <c r="C29" s="34" t="s">
        <v>55</v>
      </c>
    </row>
    <row r="30" spans="1:3" ht="21">
      <c r="A30" s="34" t="s">
        <v>204</v>
      </c>
      <c r="B30" s="35">
        <f>B15</f>
        <v>300</v>
      </c>
      <c r="C30" s="34"/>
    </row>
    <row r="31" spans="1:3" ht="21">
      <c r="A31" s="34" t="s">
        <v>148</v>
      </c>
      <c r="B31" s="39">
        <f>(B27-B28)/(B29+B30)</f>
        <v>2.388888888888889</v>
      </c>
      <c r="C31" s="34"/>
    </row>
    <row r="32" spans="1:3" ht="21">
      <c r="A32" s="34"/>
      <c r="B32" s="35"/>
      <c r="C32" s="34"/>
    </row>
    <row r="33" spans="1:3" ht="21">
      <c r="A33" s="34"/>
      <c r="B33" s="35"/>
      <c r="C33" s="34"/>
    </row>
    <row r="34" spans="1:3" ht="21">
      <c r="A34" s="44" t="s">
        <v>107</v>
      </c>
      <c r="B34" s="35"/>
      <c r="C34" s="34"/>
    </row>
    <row r="35" spans="1:3" ht="21">
      <c r="A35" s="34" t="s">
        <v>27</v>
      </c>
      <c r="B35" s="35">
        <v>30000</v>
      </c>
      <c r="C35" s="34"/>
    </row>
    <row r="36" spans="1:2" ht="21">
      <c r="A36" s="34" t="s">
        <v>25</v>
      </c>
      <c r="B36" s="35">
        <v>0</v>
      </c>
    </row>
    <row r="37" spans="1:3" ht="21">
      <c r="A37" s="34" t="s">
        <v>273</v>
      </c>
      <c r="B37" s="35">
        <f>B23</f>
        <v>1575</v>
      </c>
      <c r="C37" s="34" t="s">
        <v>146</v>
      </c>
    </row>
    <row r="38" spans="1:3" ht="21">
      <c r="A38" s="34" t="s">
        <v>274</v>
      </c>
      <c r="B38" s="35">
        <f>B24</f>
        <v>715.0000000000001</v>
      </c>
      <c r="C38" s="34"/>
    </row>
    <row r="39" spans="1:3" ht="21">
      <c r="A39" s="34" t="s">
        <v>81</v>
      </c>
      <c r="B39" s="40">
        <f>(B35-B36)/(B37+B38)</f>
        <v>13.100436681222707</v>
      </c>
      <c r="C39" t="s">
        <v>90</v>
      </c>
    </row>
    <row r="42" ht="21">
      <c r="A42" s="34"/>
    </row>
    <row r="43" ht="18">
      <c r="A43" s="51" t="s">
        <v>223</v>
      </c>
    </row>
    <row r="44" ht="18">
      <c r="A44" s="51" t="s">
        <v>209</v>
      </c>
    </row>
    <row r="47" s="83" customFormat="1" ht="12.75">
      <c r="B47" s="84"/>
    </row>
    <row r="48" s="34" customFormat="1" ht="21">
      <c r="A48" s="34" t="s">
        <v>201</v>
      </c>
    </row>
    <row r="49" s="44" customFormat="1" ht="21">
      <c r="A49" s="44" t="s">
        <v>281</v>
      </c>
    </row>
    <row r="50" spans="1:2" s="34" customFormat="1" ht="21">
      <c r="A50" s="34" t="s">
        <v>212</v>
      </c>
      <c r="B50" s="87">
        <v>30000</v>
      </c>
    </row>
    <row r="51" spans="1:2" s="34" customFormat="1" ht="21.75" thickBot="1">
      <c r="A51" s="34" t="s">
        <v>276</v>
      </c>
      <c r="B51" s="87">
        <v>9000</v>
      </c>
    </row>
    <row r="52" spans="1:2" s="34" customFormat="1" ht="21">
      <c r="A52" s="85" t="s">
        <v>37</v>
      </c>
      <c r="B52" s="86">
        <f>SUM(B50:B51)</f>
        <v>39000</v>
      </c>
    </row>
    <row r="53" s="34" customFormat="1" ht="21">
      <c r="B53" s="87"/>
    </row>
    <row r="54" s="34" customFormat="1" ht="21">
      <c r="B54" s="87"/>
    </row>
    <row r="55" spans="1:2" s="34" customFormat="1" ht="21">
      <c r="A55" s="44" t="s">
        <v>282</v>
      </c>
      <c r="B55" s="87"/>
    </row>
    <row r="56" spans="1:2" s="34" customFormat="1" ht="21">
      <c r="A56" s="34" t="s">
        <v>277</v>
      </c>
      <c r="B56" s="87">
        <f>0.3*B52</f>
        <v>11700</v>
      </c>
    </row>
    <row r="57" spans="1:2" s="34" customFormat="1" ht="21">
      <c r="A57" s="34" t="s">
        <v>279</v>
      </c>
      <c r="B57" s="87">
        <f>20000*0.12</f>
        <v>2400</v>
      </c>
    </row>
    <row r="58" spans="1:2" s="34" customFormat="1" ht="21.75" thickBot="1">
      <c r="A58" s="34" t="s">
        <v>278</v>
      </c>
      <c r="B58" s="87">
        <v>4900</v>
      </c>
    </row>
    <row r="59" spans="1:2" s="34" customFormat="1" ht="21">
      <c r="A59" s="85" t="s">
        <v>37</v>
      </c>
      <c r="B59" s="86">
        <f>SUM(B56:B58)</f>
        <v>19000</v>
      </c>
    </row>
    <row r="60" s="34" customFormat="1" ht="21"/>
    <row r="61" s="34" customFormat="1" ht="21">
      <c r="A61" s="34" t="s">
        <v>280</v>
      </c>
    </row>
    <row r="62" s="34" customFormat="1" ht="21"/>
    <row r="63" s="34" customFormat="1" ht="21"/>
    <row r="64" spans="1:2" s="34" customFormat="1" ht="21">
      <c r="A64" s="44" t="s">
        <v>251</v>
      </c>
      <c r="B64" s="44"/>
    </row>
    <row r="65" spans="1:2" s="34" customFormat="1" ht="21.75" thickBot="1">
      <c r="A65" s="34" t="s">
        <v>252</v>
      </c>
      <c r="B65" s="87">
        <v>9000</v>
      </c>
    </row>
    <row r="66" spans="1:2" s="34" customFormat="1" ht="21">
      <c r="A66" s="85" t="s">
        <v>37</v>
      </c>
      <c r="B66" s="86">
        <f>SUM(B65:B65)</f>
        <v>9000</v>
      </c>
    </row>
    <row r="67" s="34" customFormat="1" ht="21">
      <c r="B67" s="87"/>
    </row>
    <row r="68" s="34" customFormat="1" ht="21">
      <c r="B68" s="87"/>
    </row>
    <row r="69" spans="1:2" s="34" customFormat="1" ht="21">
      <c r="A69" s="44" t="s">
        <v>282</v>
      </c>
      <c r="B69" s="87"/>
    </row>
    <row r="70" spans="1:2" s="34" customFormat="1" ht="21">
      <c r="A70" s="34" t="s">
        <v>277</v>
      </c>
      <c r="B70" s="87">
        <f>0.3*B66</f>
        <v>2700</v>
      </c>
    </row>
    <row r="71" spans="1:2" s="34" customFormat="1" ht="21">
      <c r="A71" s="34" t="s">
        <v>253</v>
      </c>
      <c r="B71" s="87">
        <f>11*12*4</f>
        <v>528</v>
      </c>
    </row>
    <row r="72" spans="1:2" s="34" customFormat="1" ht="21.75" thickBot="1">
      <c r="A72" s="34" t="s">
        <v>278</v>
      </c>
      <c r="B72" s="87">
        <v>9600</v>
      </c>
    </row>
    <row r="73" spans="1:2" s="34" customFormat="1" ht="21">
      <c r="A73" s="85" t="s">
        <v>37</v>
      </c>
      <c r="B73" s="86">
        <f>SUM(B70:B72)</f>
        <v>12828</v>
      </c>
    </row>
    <row r="74" s="34" customFormat="1" ht="21"/>
    <row r="75" s="34" customFormat="1" ht="21">
      <c r="A75" s="34" t="s">
        <v>30</v>
      </c>
    </row>
    <row r="76" s="34" customFormat="1" ht="21"/>
    <row r="77" s="34" customFormat="1" ht="21">
      <c r="A77" s="90" t="s">
        <v>87</v>
      </c>
    </row>
    <row r="78" s="34" customFormat="1" ht="21">
      <c r="A78" s="90" t="s">
        <v>29</v>
      </c>
    </row>
    <row r="79" s="34" customFormat="1" ht="21"/>
    <row r="80" s="34" customFormat="1" ht="21"/>
    <row r="81" s="34" customFormat="1" ht="21">
      <c r="A81" s="34" t="str">
        <f>A48</f>
        <v>Our systems:</v>
      </c>
    </row>
    <row r="82" spans="1:2" s="34" customFormat="1" ht="21">
      <c r="A82" s="44" t="str">
        <f>A49</f>
        <v>PV Costs</v>
      </c>
      <c r="B82" s="44"/>
    </row>
    <row r="83" spans="1:2" s="34" customFormat="1" ht="21">
      <c r="A83" s="34" t="str">
        <f>A50</f>
        <v>16 PV panels purchased in 2009</v>
      </c>
      <c r="B83" s="87">
        <f>B50</f>
        <v>30000</v>
      </c>
    </row>
    <row r="84" spans="1:2" s="34" customFormat="1" ht="21.75" thickBot="1">
      <c r="A84" s="34" t="str">
        <f>A51</f>
        <v>6 additional panels in 2011</v>
      </c>
      <c r="B84" s="87">
        <f>B51</f>
        <v>9000</v>
      </c>
    </row>
    <row r="85" spans="1:2" s="34" customFormat="1" ht="21">
      <c r="A85" s="85" t="str">
        <f>A52</f>
        <v>Total</v>
      </c>
      <c r="B85" s="86">
        <f>B52</f>
        <v>39000</v>
      </c>
    </row>
    <row r="86" s="34" customFormat="1" ht="21">
      <c r="B86" s="87"/>
    </row>
    <row r="87" s="34" customFormat="1" ht="21">
      <c r="B87" s="87"/>
    </row>
    <row r="88" spans="1:2" s="34" customFormat="1" ht="21">
      <c r="A88" s="44" t="str">
        <f>A55</f>
        <v>PV Income 2009-2013</v>
      </c>
      <c r="B88" s="87"/>
    </row>
    <row r="89" spans="1:2" s="34" customFormat="1" ht="21">
      <c r="A89" s="34" t="str">
        <f>A56</f>
        <v>Tax credits</v>
      </c>
      <c r="B89" s="87">
        <f>B56</f>
        <v>11700</v>
      </c>
    </row>
    <row r="90" spans="1:2" s="34" customFormat="1" ht="21">
      <c r="A90" s="34" t="str">
        <f>A57</f>
        <v>Electricity savings (20 MWh)</v>
      </c>
      <c r="B90" s="87">
        <f>B57</f>
        <v>2400</v>
      </c>
    </row>
    <row r="91" spans="1:2" s="34" customFormat="1" ht="21.75" thickBot="1">
      <c r="A91" s="34" t="str">
        <f>A58</f>
        <v>SRECS</v>
      </c>
      <c r="B91" s="87">
        <f>B58</f>
        <v>4900</v>
      </c>
    </row>
    <row r="92" spans="1:2" s="34" customFormat="1" ht="21">
      <c r="A92" s="85" t="str">
        <f>A59</f>
        <v>Total</v>
      </c>
      <c r="B92" s="86">
        <f>B59</f>
        <v>19000</v>
      </c>
    </row>
    <row r="93" s="34" customFormat="1" ht="21"/>
    <row r="94" s="34" customFormat="1" ht="21">
      <c r="A94" s="34" t="str">
        <f>A61</f>
        <v>I.e. we made 50% on our investment in 4 years!</v>
      </c>
    </row>
    <row r="95" s="34" customFormat="1" ht="21"/>
    <row r="96" s="34" customFormat="1" ht="21"/>
    <row r="97" spans="1:2" s="34" customFormat="1" ht="21">
      <c r="A97" s="44" t="str">
        <f>A64</f>
        <v>Hot water system costs</v>
      </c>
      <c r="B97" s="44"/>
    </row>
    <row r="98" spans="1:2" s="34" customFormat="1" ht="21.75" thickBot="1">
      <c r="A98" s="34" t="str">
        <f>A65</f>
        <v>Purchase in 2009</v>
      </c>
      <c r="B98" s="87">
        <f>B65</f>
        <v>9000</v>
      </c>
    </row>
    <row r="99" spans="1:2" s="34" customFormat="1" ht="21">
      <c r="A99" s="85" t="str">
        <f>A66</f>
        <v>Total</v>
      </c>
      <c r="B99" s="86">
        <f>B66</f>
        <v>9000</v>
      </c>
    </row>
    <row r="100" s="34" customFormat="1" ht="21">
      <c r="B100" s="87"/>
    </row>
    <row r="101" s="34" customFormat="1" ht="21">
      <c r="B101" s="87"/>
    </row>
    <row r="102" spans="1:2" s="34" customFormat="1" ht="21">
      <c r="A102" s="44" t="str">
        <f>A69</f>
        <v>PV Income 2009-2013</v>
      </c>
      <c r="B102" s="87"/>
    </row>
    <row r="103" spans="1:2" s="34" customFormat="1" ht="21">
      <c r="A103" s="34" t="str">
        <f>A70</f>
        <v>Tax credits</v>
      </c>
      <c r="B103" s="87">
        <f>B70</f>
        <v>2700</v>
      </c>
    </row>
    <row r="104" spans="1:2" s="34" customFormat="1" ht="21">
      <c r="A104" s="34" t="str">
        <f>A71</f>
        <v>Natural gas savings</v>
      </c>
      <c r="B104" s="87">
        <f>B71</f>
        <v>528</v>
      </c>
    </row>
    <row r="105" spans="1:2" s="34" customFormat="1" ht="21.75" thickBot="1">
      <c r="A105" s="34" t="str">
        <f>A72</f>
        <v>SRECS</v>
      </c>
      <c r="B105" s="87">
        <f>B72</f>
        <v>9600</v>
      </c>
    </row>
    <row r="106" spans="1:2" s="34" customFormat="1" ht="21">
      <c r="A106" s="85" t="str">
        <f>A73</f>
        <v>Total</v>
      </c>
      <c r="B106" s="86">
        <f>B73</f>
        <v>12828</v>
      </c>
    </row>
    <row r="107" s="34" customFormat="1" ht="21"/>
    <row r="108" s="34" customFormat="1" ht="21">
      <c r="A108" s="34" t="str">
        <f>A75</f>
        <v>I.e. we more than paid off our system in 3 years!</v>
      </c>
    </row>
    <row r="109" s="34" customFormat="1" ht="21"/>
    <row r="110" s="34" customFormat="1" ht="21">
      <c r="A110" s="90" t="str">
        <f>A77</f>
        <v>Note: Your numbers if you install today will be different since the local SREC market is depressed</v>
      </c>
    </row>
    <row r="111" s="34" customFormat="1" ht="21">
      <c r="A111" s="90" t="str">
        <f>A78</f>
        <v>If you want to have an SREC market to encourage solar installation, get the Virginia Legislature to create a Renewable Portfolio Standard similar to nieghboring states</v>
      </c>
    </row>
    <row r="112" s="34" customFormat="1" ht="21"/>
    <row r="113" s="34" customFormat="1" ht="21"/>
    <row r="114" s="34" customFormat="1" ht="21"/>
    <row r="115" s="34" customFormat="1" ht="21"/>
    <row r="116" s="34" customFormat="1" ht="21"/>
    <row r="117" ht="21">
      <c r="A117" s="34"/>
    </row>
    <row r="118" ht="21">
      <c r="A118" s="34"/>
    </row>
    <row r="119" ht="21">
      <c r="A119" s="34"/>
    </row>
    <row r="120" ht="21">
      <c r="A120" s="34"/>
    </row>
    <row r="121" ht="21">
      <c r="A121" s="34"/>
    </row>
    <row r="122" ht="21">
      <c r="A122" s="34"/>
    </row>
    <row r="123" ht="21">
      <c r="A123" s="34"/>
    </row>
    <row r="124" ht="21">
      <c r="A124" s="34"/>
    </row>
    <row r="125" ht="21">
      <c r="A125" s="34"/>
    </row>
    <row r="126" ht="21">
      <c r="A126" s="34"/>
    </row>
    <row r="127" ht="21">
      <c r="A127" s="34"/>
    </row>
    <row r="128" ht="21">
      <c r="A128" s="34"/>
    </row>
    <row r="129" ht="21">
      <c r="A129" s="34"/>
    </row>
    <row r="130" ht="21">
      <c r="A130" s="34"/>
    </row>
    <row r="131" ht="21">
      <c r="A131" s="34"/>
    </row>
    <row r="132" ht="21">
      <c r="A132" s="34"/>
    </row>
    <row r="133" ht="21">
      <c r="A133" s="34"/>
    </row>
    <row r="134" ht="21">
      <c r="A134" s="34"/>
    </row>
    <row r="135" ht="21">
      <c r="A135" s="34"/>
    </row>
    <row r="136" ht="21">
      <c r="A136" s="34"/>
    </row>
    <row r="137" ht="21">
      <c r="A137" s="34"/>
    </row>
  </sheetData>
  <printOptions/>
  <pageMargins left="0.75" right="0.75" top="1" bottom="1" header="0.5" footer="0.5"/>
  <pageSetup fitToHeight="1" fitToWidth="1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Amundsen</dc:creator>
  <cp:keywords/>
  <dc:description/>
  <cp:lastModifiedBy>Ruth Amundsen</cp:lastModifiedBy>
  <cp:lastPrinted>2014-09-28T18:35:59Z</cp:lastPrinted>
  <dcterms:created xsi:type="dcterms:W3CDTF">2009-02-23T21:58:28Z</dcterms:created>
  <dcterms:modified xsi:type="dcterms:W3CDTF">2014-11-25T01:06:13Z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